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555" windowWidth="11115" windowHeight="4950" tabRatio="942" firstSheet="1" activeTab="9"/>
  </bookViews>
  <sheets>
    <sheet name="sales tax " sheetId="25" r:id="rId1"/>
    <sheet name="Trial 15 (2)" sheetId="24" r:id="rId2"/>
    <sheet name="JV" sheetId="18" r:id="rId3"/>
    <sheet name="BS" sheetId="27" r:id="rId4"/>
    <sheet name="Balance Sheet" sheetId="1" r:id="rId5"/>
    <sheet name="P &amp; L" sheetId="6" r:id="rId6"/>
    <sheet name="OCI" sheetId="15" r:id="rId7"/>
    <sheet name="SOCE" sheetId="9" r:id="rId8"/>
    <sheet name="cash flow" sheetId="14" r:id="rId9"/>
    <sheet name="Trial 15" sheetId="23" r:id="rId10"/>
    <sheet name="Fixed Assets" sheetId="8" r:id="rId11"/>
    <sheet name="Notes (2)" sheetId="7" r:id="rId12"/>
    <sheet name="Difference" sheetId="16" r:id="rId13"/>
    <sheet name="Shares" sheetId="22" r:id="rId14"/>
    <sheet name="Provision-Final" sheetId="26" r:id="rId15"/>
    <sheet name="TAX SCHEDULE" sheetId="10" r:id="rId16"/>
    <sheet name="deffered" sheetId="12" r:id="rId17"/>
  </sheets>
  <externalReferences>
    <externalReference r:id="rId18"/>
    <externalReference r:id="rId19"/>
    <externalReference r:id="rId20"/>
    <externalReference r:id="rId21"/>
    <externalReference r:id="rId22"/>
  </externalReferences>
  <definedNames>
    <definedName name="\g">#N/A</definedName>
    <definedName name="\p">#N/A</definedName>
    <definedName name="\s">#N/A</definedName>
    <definedName name="_xlnm._FilterDatabase" localSheetId="1" hidden="1">'Trial 15 (2)'!$B$6:$M$114</definedName>
    <definedName name="_Key1" localSheetId="3" hidden="1">#REF!</definedName>
    <definedName name="_Key1" localSheetId="14" hidden="1">#REF!</definedName>
    <definedName name="_Key1" hidden="1">#REF!</definedName>
    <definedName name="_Order1" hidden="1">255</definedName>
    <definedName name="_Sort" localSheetId="3" hidden="1">#REF!</definedName>
    <definedName name="_Sort" localSheetId="14" hidden="1">#REF!</definedName>
    <definedName name="_Sort" hidden="1">#REF!</definedName>
    <definedName name="Admission_Fees" localSheetId="3">#REF!</definedName>
    <definedName name="Admission_Fees">#REF!</definedName>
    <definedName name="Advances_Deposits___Payments" localSheetId="3">#REF!</definedName>
    <definedName name="Advances_Deposits___Payments">#REF!</definedName>
    <definedName name="Assets" localSheetId="3">#REF!</definedName>
    <definedName name="Assets">#REF!</definedName>
    <definedName name="Audit_Fee" localSheetId="3">#REF!</definedName>
    <definedName name="Audit_Fee">#REF!</definedName>
    <definedName name="Awards">[1]Trial!$D$123</definedName>
    <definedName name="Azhar" localSheetId="3">#REF!</definedName>
    <definedName name="Azhar">#REF!</definedName>
    <definedName name="BadFeeWrittenOff">[1]Trial!$D$143</definedName>
    <definedName name="Bank.Charges" localSheetId="3">#REF!</definedName>
    <definedName name="Bank.Charges">#REF!</definedName>
    <definedName name="Bank_charges" localSheetId="3">#REF!</definedName>
    <definedName name="Bank_charges">#REF!</definedName>
    <definedName name="Bank_Profit" localSheetId="3">#REF!</definedName>
    <definedName name="Bank_Profit">#REF!</definedName>
    <definedName name="BankCharges">[1]Trial!$D$117</definedName>
    <definedName name="BISE_A_c_HBLtd.60314_6" localSheetId="3">#REF!</definedName>
    <definedName name="BISE_A_c_HBLtd.60314_6">#REF!</definedName>
    <definedName name="BISE_A_c_HBLtd.6452_8" localSheetId="3">#REF!</definedName>
    <definedName name="BISE_A_c_HBLtd.6452_8">#REF!</definedName>
    <definedName name="Building" localSheetId="3">#REF!</definedName>
    <definedName name="Building">#REF!</definedName>
    <definedName name="Building_Rent" localSheetId="3">#REF!</definedName>
    <definedName name="Building_Rent">#REF!</definedName>
    <definedName name="Building_Repair___Maintenance" localSheetId="3">#REF!</definedName>
    <definedName name="Building_Repair___Maintenance">#REF!</definedName>
    <definedName name="BuildingRent">[1]Trial!$D$88</definedName>
    <definedName name="BuildingRepair">[1]Trial!$D$83</definedName>
    <definedName name="Bus_Accounts" localSheetId="3">#REF!</definedName>
    <definedName name="Bus_Accounts">#REF!</definedName>
    <definedName name="Bus_fee_collection" localSheetId="3">#REF!</definedName>
    <definedName name="Bus_fee_collection">#REF!</definedName>
    <definedName name="Bus_Fees" localSheetId="3">#REF!</definedName>
    <definedName name="Bus_Fees">#REF!</definedName>
    <definedName name="Capital_Funds" localSheetId="3">#REF!</definedName>
    <definedName name="Capital_Funds">#REF!</definedName>
    <definedName name="cash_in_hand" localSheetId="3">#REF!</definedName>
    <definedName name="cash_in_hand">#REF!</definedName>
    <definedName name="Cathedral_School_Buses" localSheetId="3">#REF!</definedName>
    <definedName name="Cathedral_School_Buses">#REF!</definedName>
    <definedName name="ch" localSheetId="3">[2]Acct!#REF!</definedName>
    <definedName name="ch">[2]Acct!#REF!</definedName>
    <definedName name="Charity_Funds" localSheetId="3">#REF!</definedName>
    <definedName name="Charity_Funds">#REF!</definedName>
    <definedName name="Check" localSheetId="3">[2]Acct!#REF!</definedName>
    <definedName name="Check">[2]Acct!#REF!</definedName>
    <definedName name="Child_Care_Council_Funds" localSheetId="3">#REF!</definedName>
    <definedName name="Child_Care_Council_Funds">#REF!</definedName>
    <definedName name="Closing_Balance_A_c_1821_2__Bus" localSheetId="3">#REF!</definedName>
    <definedName name="Closing_Balance_A_c_1821_2__Bus">#REF!</definedName>
    <definedName name="Closing_Balance_A_c_359_4" localSheetId="3">#REF!</definedName>
    <definedName name="Closing_Balance_A_c_359_4">#REF!</definedName>
    <definedName name="Collection_from_other_institution" localSheetId="3">#REF!</definedName>
    <definedName name="Collection_from_other_institution">#REF!</definedName>
    <definedName name="Computer_Fees" localSheetId="3">#REF!</definedName>
    <definedName name="Computer_Fees">#REF!</definedName>
    <definedName name="ComputerAccesories">[1]Trial!$D$130</definedName>
    <definedName name="ComputerEquipRepair">[1]Trial!$D$86</definedName>
    <definedName name="ComputerRepair">[1]Trial!$D$129</definedName>
    <definedName name="COORDINATIONOFFICE">[1]Trial!$D$69</definedName>
    <definedName name="COS">#N/A</definedName>
    <definedName name="Crockery">[1]Trial!$D$82</definedName>
    <definedName name="Debates">[1]Trial!$D$99</definedName>
    <definedName name="Debates__Contests" localSheetId="3">#REF!</definedName>
    <definedName name="Debates__Contests">#REF!</definedName>
    <definedName name="Depreciation" localSheetId="3">#REF!</definedName>
    <definedName name="Depreciation">#REF!</definedName>
    <definedName name="DEVELOPMENTFUND">[1]Trial!$D$70</definedName>
    <definedName name="Donations" localSheetId="3">#REF!</definedName>
    <definedName name="Donations">#REF!</definedName>
    <definedName name="Donations_Scholarships" localSheetId="3">#REF!</definedName>
    <definedName name="Donations_Scholarships">#REF!</definedName>
    <definedName name="E.O.B.I." localSheetId="3">#REF!</definedName>
    <definedName name="E.O.B.I.">#REF!</definedName>
    <definedName name="Educational_Aids" localSheetId="3">#REF!</definedName>
    <definedName name="Educational_Aids">#REF!</definedName>
    <definedName name="Educational_Aids_Equipments" localSheetId="3">#REF!</definedName>
    <definedName name="Educational_Aids_Equipments">#REF!</definedName>
    <definedName name="Educational_Trips" localSheetId="3">#REF!</definedName>
    <definedName name="Educational_Trips">#REF!</definedName>
    <definedName name="EducationalAids">[1]Trial!$D$98</definedName>
    <definedName name="EducationalTrips">[1]Trial!$D$92</definedName>
    <definedName name="ElecGasRepair">[1]Trial!$D$85</definedName>
    <definedName name="Electrical_Appliances" localSheetId="3">#REF!</definedName>
    <definedName name="Electrical_Appliances">#REF!</definedName>
    <definedName name="ElectricAppliances">[1]Trial!$D$102</definedName>
    <definedName name="Electricity">[1]Trial!$D$73</definedName>
    <definedName name="Electricity_Bills" localSheetId="3">#REF!</definedName>
    <definedName name="Electricity_Bills">#REF!</definedName>
    <definedName name="EOBI" localSheetId="3">#REF!</definedName>
    <definedName name="EOBI">#REF!</definedName>
    <definedName name="Equipment_Repair" localSheetId="3">#REF!</definedName>
    <definedName name="Equipment_Repair">#REF!</definedName>
    <definedName name="Examination" localSheetId="3">#REF!</definedName>
    <definedName name="Examination">#REF!</definedName>
    <definedName name="Examination_Fees" localSheetId="3">#REF!</definedName>
    <definedName name="Examination_Fees">#REF!</definedName>
    <definedName name="Expenses_on_Meetings" localSheetId="3">#REF!</definedName>
    <definedName name="Expenses_on_Meetings">#REF!</definedName>
    <definedName name="Expenses_Payable" localSheetId="3">#REF!</definedName>
    <definedName name="Expenses_Payable">#REF!</definedName>
    <definedName name="FA" localSheetId="3">#REF!</definedName>
    <definedName name="FA" localSheetId="14">#REF!</definedName>
    <definedName name="FA">#REF!</definedName>
    <definedName name="FestivalFunctions">[1]Trial!$D$71</definedName>
    <definedName name="Festivals" localSheetId="3">#REF!</definedName>
    <definedName name="Festivals">#REF!</definedName>
    <definedName name="Fine_Arts" localSheetId="3">#REF!</definedName>
    <definedName name="Fine_Arts">#REF!</definedName>
    <definedName name="Fines" localSheetId="3">#REF!</definedName>
    <definedName name="Fines">#REF!</definedName>
    <definedName name="Fish_Aquarium" localSheetId="3">#REF!</definedName>
    <definedName name="Fish_Aquarium">#REF!</definedName>
    <definedName name="Fuel_and_lubricants" localSheetId="3">#REF!</definedName>
    <definedName name="Fuel_and_lubricants">#REF!</definedName>
    <definedName name="Functions">[1]Trial!$D$91</definedName>
    <definedName name="Furniture__Fixture" localSheetId="3">#REF!</definedName>
    <definedName name="Furniture__Fixture">#REF!</definedName>
    <definedName name="Furniture_Repair" localSheetId="3">#REF!</definedName>
    <definedName name="Furniture_Repair">#REF!</definedName>
    <definedName name="FurnitureRepair">[1]Trial!$D$84</definedName>
    <definedName name="GardenGround">[1]Trial!$D$87</definedName>
    <definedName name="Gas_Electric_Repair" localSheetId="3">#REF!</definedName>
    <definedName name="Gas_Electric_Repair">#REF!</definedName>
    <definedName name="Ground___Garden" localSheetId="3">#REF!</definedName>
    <definedName name="Ground___Garden">#REF!</definedName>
    <definedName name="In_Service_Training" localSheetId="3">#REF!</definedName>
    <definedName name="In_Service_Training">#REF!</definedName>
    <definedName name="Income_tax" localSheetId="3">#REF!</definedName>
    <definedName name="Income_tax">#REF!</definedName>
    <definedName name="InServiceTraining">[1]Trial!$D$126</definedName>
    <definedName name="Insurance" localSheetId="3">#REF!</definedName>
    <definedName name="Insurance">#REF!</definedName>
    <definedName name="Investment_Bus_Account" localSheetId="3">#REF!</definedName>
    <definedName name="Investment_Bus_Account">#REF!</definedName>
    <definedName name="Junior_Staff_Uniforms" localSheetId="3">#REF!</definedName>
    <definedName name="Junior_Staff_Uniforms">#REF!</definedName>
    <definedName name="KashifJavedKhawar">[1]Trial!$D$79</definedName>
    <definedName name="Laboratory" localSheetId="3">#REF!</definedName>
    <definedName name="Laboratory">#REF!</definedName>
    <definedName name="Land_Cathedral_No.4" localSheetId="3">#REF!</definedName>
    <definedName name="Land_Cathedral_No.4">#REF!</definedName>
    <definedName name="LDBE_Co_ordination_office_Funds" localSheetId="3">#REF!</definedName>
    <definedName name="LDBE_Co_ordination_office_Funds">#REF!</definedName>
    <definedName name="LDBE_Development_Funds" localSheetId="3">#REF!</definedName>
    <definedName name="LDBE_Development_Funds">#REF!</definedName>
    <definedName name="LDBE_P_F_Loan_A_c" localSheetId="3">#REF!</definedName>
    <definedName name="LDBE_P_F_Loan_A_c">#REF!</definedName>
    <definedName name="LDBE_Reserve_Funds" localSheetId="3">#REF!</definedName>
    <definedName name="LDBE_Reserve_Funds">#REF!</definedName>
    <definedName name="LDBS_Books_a_c" localSheetId="3">#REF!</definedName>
    <definedName name="LDBS_Books_a_c">#REF!</definedName>
    <definedName name="Legal__Professional_Charges" localSheetId="3">#REF!</definedName>
    <definedName name="Legal__Professional_Charges">#REF!</definedName>
    <definedName name="LegalExpenses">[1]Trial!$D$107</definedName>
    <definedName name="Library">[1]Trial!$D$94</definedName>
    <definedName name="Library_Books" localSheetId="3">#REF!</definedName>
    <definedName name="Library_Books">#REF!</definedName>
    <definedName name="Library_News_Papers_Teacher_s_copies" localSheetId="3">#REF!</definedName>
    <definedName name="Library_News_Papers_Teacher_s_copies">#REF!</definedName>
    <definedName name="Long_Term_Deposit" localSheetId="3">#REF!</definedName>
    <definedName name="Long_Term_Deposit">#REF!</definedName>
    <definedName name="Magazine_A_c" localSheetId="3">#REF!</definedName>
    <definedName name="Magazine_A_c">#REF!</definedName>
    <definedName name="Medical_Fees" localSheetId="3">#REF!</definedName>
    <definedName name="Medical_Fees">#REF!</definedName>
    <definedName name="Medical_First_Aid" localSheetId="3">#REF!</definedName>
    <definedName name="Medical_First_Aid">#REF!</definedName>
    <definedName name="Medical_Instruments" localSheetId="3">#REF!</definedName>
    <definedName name="Medical_Instruments">#REF!</definedName>
    <definedName name="MedicalFirstAid">[1]Trial!$D$72</definedName>
    <definedName name="MeetingExpense">[1]Trial!$D$89</definedName>
    <definedName name="Miscellaneous" localSheetId="3">#REF!</definedName>
    <definedName name="Miscellaneous">#REF!</definedName>
    <definedName name="Miscellaneous_Receipts" localSheetId="3">#REF!</definedName>
    <definedName name="Miscellaneous_Receipts">#REF!</definedName>
    <definedName name="MiscExpenses">[1]Trial!$D$106</definedName>
    <definedName name="Musical_Instruments" localSheetId="3">#REF!</definedName>
    <definedName name="Musical_Instruments">#REF!</definedName>
    <definedName name="Office_Equipments" localSheetId="3">#REF!</definedName>
    <definedName name="Office_Equipments">#REF!</definedName>
    <definedName name="Office_Guests" localSheetId="3">#REF!</definedName>
    <definedName name="Office_Guests">#REF!</definedName>
    <definedName name="Office_Requisites" localSheetId="3">#REF!</definedName>
    <definedName name="Office_Requisites">#REF!</definedName>
    <definedName name="OfficeEquipment">[1]Trial!$D$101</definedName>
    <definedName name="OfficeGuest">[1]Trial!$D$90</definedName>
    <definedName name="OfficeRequisites">[1]Trial!$D$77</definedName>
    <definedName name="Over.time" localSheetId="3">#REF!</definedName>
    <definedName name="Over.time">#REF!</definedName>
    <definedName name="Over_time" localSheetId="3">#REF!</definedName>
    <definedName name="Over_time">#REF!</definedName>
    <definedName name="Parents_Teacher_Meetings" localSheetId="3">#REF!</definedName>
    <definedName name="Parents_Teacher_Meetings">#REF!</definedName>
    <definedName name="Pay___Allowances" localSheetId="3">#REF!</definedName>
    <definedName name="Pay___Allowances">#REF!</definedName>
    <definedName name="PESSI" localSheetId="3">#REF!</definedName>
    <definedName name="PESSI">#REF!</definedName>
    <definedName name="Principal_Car_Petrol" localSheetId="3">#REF!</definedName>
    <definedName name="Principal_Car_Petrol">#REF!</definedName>
    <definedName name="PrincipalCar">[1]Trial!$D$81</definedName>
    <definedName name="_xlnm.Print_Area" localSheetId="4">'Balance Sheet'!$B$2:$N$46</definedName>
    <definedName name="_xlnm.Print_Area" localSheetId="3">BS!$B$1:$I$58</definedName>
    <definedName name="_xlnm.Print_Area" localSheetId="8">'cash flow'!$B$3:$J$59</definedName>
    <definedName name="_xlnm.Print_Area" localSheetId="10">'Fixed Assets'!$B$1:$L$26</definedName>
    <definedName name="_xlnm.Print_Area" localSheetId="11">'Notes (2)'!$B$4:$L$325</definedName>
    <definedName name="_xlnm.Print_Area" localSheetId="6">OCI!$B$1:$G$24</definedName>
    <definedName name="_xlnm.Print_Area" localSheetId="5">'P &amp; L'!$B$1:$I$43</definedName>
    <definedName name="_xlnm.Print_Area" localSheetId="14">'Provision-Final'!$B$2:$M$81</definedName>
    <definedName name="_xlnm.Print_Area" localSheetId="7">SOCE!$B$4:$F$35</definedName>
    <definedName name="_xlnm.Print_Area" localSheetId="15">'TAX SCHEDULE'!$B$3:$M$29</definedName>
    <definedName name="_xlnm.Print_Area" localSheetId="1">#REF!</definedName>
    <definedName name="_xlnm.Print_Area">#REF!</definedName>
    <definedName name="_xlnm.Print_Titles" localSheetId="11">'Notes (2)'!$1:$3</definedName>
    <definedName name="Printing____Publications" localSheetId="3">#REF!</definedName>
    <definedName name="Printing____Publications">#REF!</definedName>
    <definedName name="Profit_on_A.B.L._P.L.S._A_c._No._1821___Investments" localSheetId="3">#REF!</definedName>
    <definedName name="Profit_on_A.B.L._P.L.S._A_c._No._1821___Investments">#REF!</definedName>
    <definedName name="Provident_Funds" localSheetId="3">#REF!</definedName>
    <definedName name="Provident_Funds">#REF!</definedName>
    <definedName name="ProvidentFundPaid">[1]Trial!$D$25</definedName>
    <definedName name="PublicationPrinting">[1]Trial!$D$97</definedName>
    <definedName name="Re_admission_Fees" localSheetId="3">#REF!</definedName>
    <definedName name="Re_admission_Fees">#REF!</definedName>
    <definedName name="Registration_Fees" localSheetId="3">#REF!</definedName>
    <definedName name="Registration_Fees">#REF!</definedName>
    <definedName name="Repair_and_maintenance" localSheetId="3">#REF!</definedName>
    <definedName name="Repair_and_maintenance">#REF!</definedName>
    <definedName name="Reserve_Funds" localSheetId="3">#REF!</definedName>
    <definedName name="Reserve_Funds">#REF!</definedName>
    <definedName name="RevPBaig">[1]Trial!$D$127</definedName>
    <definedName name="Sanitation___Supplies" localSheetId="3">#REF!</definedName>
    <definedName name="Sanitation___Supplies">#REF!</definedName>
    <definedName name="SCExamExpenses">[1]Trial!$D$96</definedName>
    <definedName name="School_Magazine_Stocks" localSheetId="3">#REF!</definedName>
    <definedName name="School_Magazine_Stocks">#REF!</definedName>
    <definedName name="Science_Equipments" localSheetId="3">#REF!</definedName>
    <definedName name="Science_Equipments">#REF!</definedName>
    <definedName name="Science_Fees" localSheetId="3">#REF!</definedName>
    <definedName name="Science_Fees">#REF!</definedName>
    <definedName name="Scouting__Campings" localSheetId="3">#REF!</definedName>
    <definedName name="Scouting__Campings">#REF!</definedName>
    <definedName name="Sports">[1]Trial!$D$93</definedName>
    <definedName name="Sports_Goods" localSheetId="3">#REF!</definedName>
    <definedName name="Sports_Goods">#REF!</definedName>
    <definedName name="Sports_Tournaments" localSheetId="3">#REF!</definedName>
    <definedName name="Sports_Tournaments">#REF!</definedName>
    <definedName name="Staff_Entertainment" localSheetId="3">#REF!</definedName>
    <definedName name="Staff_Entertainment">#REF!</definedName>
    <definedName name="Staff_Income_tax" localSheetId="3">#REF!</definedName>
    <definedName name="Staff_Income_tax">#REF!</definedName>
    <definedName name="Staff_Loan_A_c" localSheetId="3">#REF!</definedName>
    <definedName name="Staff_Loan_A_c">#REF!</definedName>
    <definedName name="Staff_provident_fund" localSheetId="3">#REF!</definedName>
    <definedName name="Staff_provident_fund">#REF!</definedName>
    <definedName name="Staff_salaries_and_allowances" localSheetId="3">#REF!</definedName>
    <definedName name="Staff_salaries_and_allowances">#REF!</definedName>
    <definedName name="Staff_X_mas_bonus" localSheetId="3">#REF!</definedName>
    <definedName name="Staff_X_mas_bonus">#REF!</definedName>
    <definedName name="StaffRefreshment">[1]Trial!$D$78</definedName>
    <definedName name="Stitching">[1]Trial!$D$124</definedName>
    <definedName name="Students_Securities" localSheetId="3">#REF!</definedName>
    <definedName name="Students_Securities">#REF!</definedName>
    <definedName name="Students_Uniform" localSheetId="3">#REF!</definedName>
    <definedName name="Students_Uniform">#REF!</definedName>
    <definedName name="Sui_Gas_Appliances" localSheetId="3">#REF!</definedName>
    <definedName name="Sui_Gas_Appliances">#REF!</definedName>
    <definedName name="Sui_Gas_Bills" localSheetId="3">#REF!</definedName>
    <definedName name="Sui_Gas_Bills">#REF!</definedName>
    <definedName name="SuiGasWood">[1]Trial!$D$75</definedName>
    <definedName name="SundriesExpenses">[1]Trial!$D$125</definedName>
    <definedName name="Sundry_Debtor_Receivable" localSheetId="3">#REF!</definedName>
    <definedName name="Sundry_Debtor_Receivable">#REF!</definedName>
    <definedName name="Telephone">[1]Trial!$D$76</definedName>
    <definedName name="Telephone_Bills" localSheetId="3">#REF!</definedName>
    <definedName name="Telephone_Bills">#REF!</definedName>
    <definedName name="Traveling_and_Conveyance" localSheetId="3">#REF!</definedName>
    <definedName name="Traveling_and_Conveyance">#REF!</definedName>
    <definedName name="Travelling">[1]Trial!$D$80</definedName>
    <definedName name="trial" localSheetId="3">#REF!</definedName>
    <definedName name="trial" localSheetId="14">#REF!</definedName>
    <definedName name="trial">#REF!</definedName>
    <definedName name="Tuition_Fees" localSheetId="3">#REF!</definedName>
    <definedName name="Tuition_Fees">#REF!</definedName>
    <definedName name="UniformJuniorStaff">[1]Trial!$D$105</definedName>
    <definedName name="Washing">[1]Trial!$D$120</definedName>
    <definedName name="Water">[1]Trial!$D$74</definedName>
    <definedName name="Water_Bill" localSheetId="3">#REF!</definedName>
    <definedName name="Water_Bill">#REF!</definedName>
    <definedName name="X_Mas_Bonus" localSheetId="3">#REF!</definedName>
    <definedName name="X_Mas_Bonus">#REF!</definedName>
  </definedNames>
  <calcPr calcId="144525"/>
</workbook>
</file>

<file path=xl/calcChain.xml><?xml version="1.0" encoding="utf-8"?>
<calcChain xmlns="http://schemas.openxmlformats.org/spreadsheetml/2006/main">
  <c r="G41" i="18" l="1"/>
  <c r="K94" i="24" s="1"/>
  <c r="I66" i="18"/>
  <c r="F64" i="18"/>
  <c r="J94" i="24"/>
  <c r="K110" i="24"/>
  <c r="M110" i="24"/>
  <c r="K109" i="24"/>
  <c r="J101" i="24"/>
  <c r="L101" i="24" s="1"/>
  <c r="I257" i="7" s="1"/>
  <c r="J90" i="24"/>
  <c r="K108" i="24"/>
  <c r="M108" i="24"/>
  <c r="G61" i="18"/>
  <c r="G42" i="18"/>
  <c r="K111" i="24" s="1"/>
  <c r="H49" i="18"/>
  <c r="J85" i="24" s="1"/>
  <c r="F48" i="18"/>
  <c r="G50" i="18"/>
  <c r="K22" i="24" s="1"/>
  <c r="J111" i="24"/>
  <c r="L111" i="24" s="1"/>
  <c r="R27" i="14"/>
  <c r="D31" i="27"/>
  <c r="D21" i="27"/>
  <c r="E54" i="14" s="1"/>
  <c r="D19" i="27"/>
  <c r="D18" i="27"/>
  <c r="D12" i="27"/>
  <c r="D11" i="27"/>
  <c r="D10" i="27"/>
  <c r="F31" i="27"/>
  <c r="H31" i="27"/>
  <c r="H20" i="27"/>
  <c r="F20" i="27"/>
  <c r="R36" i="14" s="1"/>
  <c r="H13" i="27"/>
  <c r="F13" i="27"/>
  <c r="H12" i="27"/>
  <c r="O51" i="27"/>
  <c r="O52" i="27"/>
  <c r="N49" i="27"/>
  <c r="L46" i="27"/>
  <c r="K44" i="27"/>
  <c r="L37" i="27"/>
  <c r="L38" i="27" s="1"/>
  <c r="K32" i="27"/>
  <c r="K31" i="27"/>
  <c r="L20" i="27"/>
  <c r="J16" i="27"/>
  <c r="K16" i="27"/>
  <c r="L15" i="27"/>
  <c r="L16" i="27"/>
  <c r="K12" i="27"/>
  <c r="L12" i="27"/>
  <c r="K6" i="27"/>
  <c r="K2" i="27"/>
  <c r="L2" i="27" s="1"/>
  <c r="K10" i="27"/>
  <c r="L10" i="27" s="1"/>
  <c r="M12" i="27"/>
  <c r="L8" i="27"/>
  <c r="G43" i="18"/>
  <c r="K43" i="18" s="1"/>
  <c r="H35" i="18"/>
  <c r="F31" i="18"/>
  <c r="J112" i="24"/>
  <c r="L112" i="24" s="1"/>
  <c r="K112" i="24"/>
  <c r="M112" i="24" s="1"/>
  <c r="O27" i="14"/>
  <c r="F76" i="26"/>
  <c r="H80" i="26"/>
  <c r="F80" i="26"/>
  <c r="J51" i="26"/>
  <c r="L68" i="26"/>
  <c r="O16" i="10"/>
  <c r="J22" i="26"/>
  <c r="L22" i="26" s="1"/>
  <c r="B2" i="26"/>
  <c r="H81" i="26"/>
  <c r="F81" i="26"/>
  <c r="J52" i="26"/>
  <c r="H52" i="26"/>
  <c r="F52" i="26"/>
  <c r="L52" i="26"/>
  <c r="N50" i="26"/>
  <c r="L41" i="26"/>
  <c r="L40" i="26"/>
  <c r="L26" i="26"/>
  <c r="I200" i="7"/>
  <c r="F19" i="27"/>
  <c r="K89" i="24"/>
  <c r="J114" i="24"/>
  <c r="M114" i="24" s="1"/>
  <c r="D23" i="25"/>
  <c r="F9" i="25"/>
  <c r="B2" i="25"/>
  <c r="E23" i="25"/>
  <c r="C23" i="25"/>
  <c r="F20" i="25"/>
  <c r="H20" i="25"/>
  <c r="F19" i="25"/>
  <c r="G19" i="25"/>
  <c r="F18" i="25"/>
  <c r="G18" i="25"/>
  <c r="H18" i="25"/>
  <c r="F17" i="25"/>
  <c r="F16" i="25"/>
  <c r="H16" i="25"/>
  <c r="F15" i="25"/>
  <c r="G15" i="25"/>
  <c r="F14" i="25"/>
  <c r="H14" i="25"/>
  <c r="F13" i="25"/>
  <c r="G13" i="25"/>
  <c r="F12" i="25"/>
  <c r="H12" i="25"/>
  <c r="F11" i="25"/>
  <c r="G11" i="25"/>
  <c r="F10" i="25"/>
  <c r="G10" i="25"/>
  <c r="G14" i="25"/>
  <c r="G20" i="25"/>
  <c r="L37" i="18"/>
  <c r="K37" i="18"/>
  <c r="K78" i="24"/>
  <c r="M78" i="24"/>
  <c r="I154" i="7"/>
  <c r="F11" i="27"/>
  <c r="J89" i="24"/>
  <c r="L31" i="18"/>
  <c r="M31" i="18" s="1"/>
  <c r="L29" i="18"/>
  <c r="M29" i="18" s="1"/>
  <c r="J97" i="24"/>
  <c r="L97" i="24" s="1"/>
  <c r="I255" i="7" s="1"/>
  <c r="J104" i="24"/>
  <c r="L104" i="24" s="1"/>
  <c r="K93" i="24"/>
  <c r="J93" i="24"/>
  <c r="M93" i="24" s="1"/>
  <c r="J91" i="24"/>
  <c r="K91" i="24"/>
  <c r="N170" i="7"/>
  <c r="J9" i="6"/>
  <c r="Q89" i="24"/>
  <c r="O89" i="24"/>
  <c r="L86" i="24"/>
  <c r="M86" i="24"/>
  <c r="L114" i="24"/>
  <c r="F21" i="6" s="1"/>
  <c r="G14" i="14" s="1"/>
  <c r="G34" i="14" s="1"/>
  <c r="L110" i="24"/>
  <c r="M109" i="24"/>
  <c r="L109" i="24"/>
  <c r="L108" i="24"/>
  <c r="M107" i="24"/>
  <c r="L107" i="24"/>
  <c r="M106" i="24"/>
  <c r="L106" i="24"/>
  <c r="M105" i="24"/>
  <c r="L105" i="24"/>
  <c r="I259" i="7" s="1"/>
  <c r="M103" i="24"/>
  <c r="L103" i="24"/>
  <c r="M102" i="24"/>
  <c r="L102" i="24"/>
  <c r="M101" i="24"/>
  <c r="M100" i="24"/>
  <c r="L100" i="24"/>
  <c r="I260" i="7"/>
  <c r="M98" i="24"/>
  <c r="L98" i="24"/>
  <c r="I262" i="7" s="1"/>
  <c r="M96" i="24"/>
  <c r="L96" i="24"/>
  <c r="I253" i="7" s="1"/>
  <c r="M95" i="24"/>
  <c r="L95" i="24"/>
  <c r="M92" i="24"/>
  <c r="L92" i="24"/>
  <c r="I256" i="7" s="1"/>
  <c r="M90" i="24"/>
  <c r="L90" i="24"/>
  <c r="I252" i="7"/>
  <c r="M88" i="24"/>
  <c r="F10" i="6"/>
  <c r="H12" i="26" s="1"/>
  <c r="L88" i="24"/>
  <c r="M84" i="24"/>
  <c r="L84" i="24"/>
  <c r="M83" i="24"/>
  <c r="L83" i="24"/>
  <c r="I207" i="7"/>
  <c r="M82" i="24"/>
  <c r="L82" i="24"/>
  <c r="M81" i="24"/>
  <c r="L81" i="24"/>
  <c r="I206" i="7" s="1"/>
  <c r="I209" i="7" s="1"/>
  <c r="M80" i="24"/>
  <c r="L80" i="24"/>
  <c r="M77" i="24"/>
  <c r="L77" i="24"/>
  <c r="M76" i="24"/>
  <c r="L76" i="24"/>
  <c r="M75" i="24"/>
  <c r="L75" i="24"/>
  <c r="M74" i="24"/>
  <c r="L74" i="24"/>
  <c r="M73" i="24"/>
  <c r="L73" i="24"/>
  <c r="M72" i="24"/>
  <c r="L72" i="24"/>
  <c r="M71" i="24"/>
  <c r="L71" i="24"/>
  <c r="M70" i="24"/>
  <c r="L70" i="24"/>
  <c r="M69" i="24"/>
  <c r="L69" i="24"/>
  <c r="M68" i="24"/>
  <c r="L68" i="24"/>
  <c r="M67" i="24"/>
  <c r="L67" i="24"/>
  <c r="M66" i="24"/>
  <c r="L66" i="24"/>
  <c r="M65" i="24"/>
  <c r="L65" i="24"/>
  <c r="M64" i="24"/>
  <c r="L64" i="24"/>
  <c r="M63" i="24"/>
  <c r="L63" i="24"/>
  <c r="M62" i="24"/>
  <c r="L62" i="24"/>
  <c r="M61" i="24"/>
  <c r="L61" i="24"/>
  <c r="M60" i="24"/>
  <c r="L60" i="24"/>
  <c r="M59" i="24"/>
  <c r="L59" i="24"/>
  <c r="M58" i="24"/>
  <c r="L58" i="24"/>
  <c r="M57" i="24"/>
  <c r="L57" i="24"/>
  <c r="M56" i="24"/>
  <c r="L56" i="24"/>
  <c r="M55" i="24"/>
  <c r="L55" i="24"/>
  <c r="M54" i="24"/>
  <c r="L54" i="24"/>
  <c r="M53" i="24"/>
  <c r="L53" i="24"/>
  <c r="M52" i="24"/>
  <c r="L52" i="24"/>
  <c r="M51" i="24"/>
  <c r="L51" i="24"/>
  <c r="M50" i="24"/>
  <c r="L50" i="24"/>
  <c r="M49" i="24"/>
  <c r="L49" i="24"/>
  <c r="M48" i="24"/>
  <c r="L48" i="24"/>
  <c r="M47" i="24"/>
  <c r="L47" i="24"/>
  <c r="M46" i="24"/>
  <c r="L46" i="24"/>
  <c r="M45" i="24"/>
  <c r="L45" i="24"/>
  <c r="M44" i="24"/>
  <c r="L44" i="24"/>
  <c r="M43" i="24"/>
  <c r="L43" i="24"/>
  <c r="M42" i="24"/>
  <c r="L42" i="24"/>
  <c r="M41" i="24"/>
  <c r="L41" i="24"/>
  <c r="M40" i="24"/>
  <c r="L40" i="24"/>
  <c r="M39" i="24"/>
  <c r="L39" i="24"/>
  <c r="M38" i="24"/>
  <c r="L38" i="24"/>
  <c r="M37" i="24"/>
  <c r="L37" i="24"/>
  <c r="M36" i="24"/>
  <c r="L36" i="24"/>
  <c r="M35" i="24"/>
  <c r="L35" i="24"/>
  <c r="M34" i="24"/>
  <c r="L34" i="24"/>
  <c r="M33" i="24"/>
  <c r="L33" i="24"/>
  <c r="M32" i="24"/>
  <c r="L32" i="24"/>
  <c r="M31" i="24"/>
  <c r="L31" i="24"/>
  <c r="M30" i="24"/>
  <c r="L30" i="24"/>
  <c r="M29" i="24"/>
  <c r="L29" i="24"/>
  <c r="M28" i="24"/>
  <c r="K28" i="1"/>
  <c r="L28" i="24"/>
  <c r="M27" i="24"/>
  <c r="L27" i="24"/>
  <c r="M26" i="24"/>
  <c r="L26" i="24"/>
  <c r="M25" i="24"/>
  <c r="L25" i="24"/>
  <c r="M24" i="24"/>
  <c r="L24" i="24"/>
  <c r="M23" i="24"/>
  <c r="L23" i="24"/>
  <c r="M21" i="24"/>
  <c r="L21" i="24"/>
  <c r="M20" i="24"/>
  <c r="L20" i="24"/>
  <c r="M19" i="24"/>
  <c r="L19" i="24"/>
  <c r="M18" i="24"/>
  <c r="L18" i="24"/>
  <c r="M17" i="24"/>
  <c r="L17" i="24"/>
  <c r="K15" i="1"/>
  <c r="M16" i="24"/>
  <c r="L16" i="24"/>
  <c r="M15" i="24"/>
  <c r="L15" i="24"/>
  <c r="M14" i="24"/>
  <c r="L14" i="24"/>
  <c r="M13" i="24"/>
  <c r="L13" i="24"/>
  <c r="M12" i="24"/>
  <c r="L12" i="24"/>
  <c r="M11" i="24"/>
  <c r="L11" i="24"/>
  <c r="M10" i="24"/>
  <c r="I235" i="7" s="1"/>
  <c r="Q235" i="7" s="1"/>
  <c r="L10" i="24"/>
  <c r="M9" i="24"/>
  <c r="L9" i="24"/>
  <c r="M8" i="24"/>
  <c r="L8" i="24"/>
  <c r="I116" i="24"/>
  <c r="H99" i="24"/>
  <c r="H116" i="24"/>
  <c r="J149" i="23"/>
  <c r="I167" i="7"/>
  <c r="H23" i="8"/>
  <c r="I16" i="22"/>
  <c r="H27" i="6"/>
  <c r="M287" i="7"/>
  <c r="K289" i="7"/>
  <c r="H26" i="6" s="1"/>
  <c r="H29" i="6" s="1"/>
  <c r="G10" i="22"/>
  <c r="G12" i="22"/>
  <c r="G16" i="22" s="1"/>
  <c r="G19" i="22" s="1"/>
  <c r="B4" i="22"/>
  <c r="N167" i="7"/>
  <c r="A1" i="12"/>
  <c r="A3" i="12"/>
  <c r="B4" i="10"/>
  <c r="F12" i="10"/>
  <c r="L12" i="10"/>
  <c r="M12" i="10"/>
  <c r="E14" i="10"/>
  <c r="F14" i="10"/>
  <c r="E16" i="10"/>
  <c r="F16" i="10"/>
  <c r="K16" i="10" s="1"/>
  <c r="E18" i="10"/>
  <c r="E20" i="10"/>
  <c r="F20" i="10"/>
  <c r="E22" i="10"/>
  <c r="F24" i="10"/>
  <c r="F26" i="10"/>
  <c r="K26" i="10"/>
  <c r="L26" i="10" s="1"/>
  <c r="M26" i="10" s="1"/>
  <c r="D28" i="10"/>
  <c r="K154" i="7"/>
  <c r="M13" i="1"/>
  <c r="B156" i="7"/>
  <c r="B169" i="7"/>
  <c r="K200" i="7"/>
  <c r="H19" i="27"/>
  <c r="J19" i="27" s="1"/>
  <c r="K209" i="7"/>
  <c r="H21" i="27" s="1"/>
  <c r="H23" i="27" s="1"/>
  <c r="B219" i="7"/>
  <c r="K227" i="7"/>
  <c r="F22" i="1"/>
  <c r="O232" i="7"/>
  <c r="P232" i="7"/>
  <c r="N235" i="7"/>
  <c r="O235" i="7"/>
  <c r="K237" i="7"/>
  <c r="N247" i="7"/>
  <c r="N255" i="7"/>
  <c r="O255" i="7"/>
  <c r="K264" i="7"/>
  <c r="H14" i="6"/>
  <c r="K273" i="7"/>
  <c r="H18" i="6"/>
  <c r="K279" i="7"/>
  <c r="H21" i="6"/>
  <c r="I17" i="14"/>
  <c r="I19" i="14"/>
  <c r="N297" i="7"/>
  <c r="O295" i="7"/>
  <c r="O297" i="7" s="1"/>
  <c r="B11" i="16"/>
  <c r="B12" i="16" s="1"/>
  <c r="B13" i="16" s="1"/>
  <c r="B14" i="16" s="1"/>
  <c r="E11" i="16"/>
  <c r="E15" i="16"/>
  <c r="G11" i="16"/>
  <c r="G15" i="16"/>
  <c r="I12" i="16"/>
  <c r="I13" i="16"/>
  <c r="I14" i="16"/>
  <c r="B19" i="16"/>
  <c r="B20" i="16"/>
  <c r="G19" i="16"/>
  <c r="I19" i="16"/>
  <c r="I21" i="16" s="1"/>
  <c r="I20" i="16"/>
  <c r="E21" i="16"/>
  <c r="F13" i="8"/>
  <c r="I13" i="8" s="1"/>
  <c r="F15" i="8"/>
  <c r="Q15" i="8"/>
  <c r="F17" i="8"/>
  <c r="I17" i="8"/>
  <c r="J17" i="8" s="1"/>
  <c r="K17" i="8" s="1"/>
  <c r="I19" i="8"/>
  <c r="J19" i="8" s="1"/>
  <c r="K19" i="8" s="1"/>
  <c r="I21" i="8"/>
  <c r="J21" i="8" s="1"/>
  <c r="K21" i="8" s="1"/>
  <c r="D23" i="8"/>
  <c r="E23" i="8"/>
  <c r="F25" i="8"/>
  <c r="K25" i="8" s="1"/>
  <c r="C3" i="14"/>
  <c r="C5" i="14"/>
  <c r="I29" i="14"/>
  <c r="I31" i="14" s="1"/>
  <c r="I43" i="14"/>
  <c r="E20" i="9"/>
  <c r="C20" i="9"/>
  <c r="D20" i="9"/>
  <c r="F16" i="1" s="1"/>
  <c r="C25" i="9"/>
  <c r="B2" i="15"/>
  <c r="B4" i="15"/>
  <c r="H9" i="6"/>
  <c r="H11" i="6"/>
  <c r="H16" i="6" s="1"/>
  <c r="H24" i="6" s="1"/>
  <c r="H31" i="6" s="1"/>
  <c r="N19" i="6"/>
  <c r="I36" i="14"/>
  <c r="K22" i="6"/>
  <c r="J24" i="6"/>
  <c r="N24" i="6"/>
  <c r="N31" i="6"/>
  <c r="H73" i="6"/>
  <c r="H77" i="6"/>
  <c r="J77" i="6"/>
  <c r="K7" i="1"/>
  <c r="M7" i="1"/>
  <c r="C12" i="1"/>
  <c r="J13" i="1"/>
  <c r="F14" i="1"/>
  <c r="J14" i="1"/>
  <c r="M14" i="1"/>
  <c r="J27" i="1"/>
  <c r="J28" i="1"/>
  <c r="J30" i="1"/>
  <c r="J20" i="10"/>
  <c r="J16" i="10"/>
  <c r="J14" i="10"/>
  <c r="M13" i="8"/>
  <c r="N13" i="8" s="1"/>
  <c r="O12" i="8"/>
  <c r="P12" i="8" s="1"/>
  <c r="E28" i="10"/>
  <c r="G21" i="16"/>
  <c r="G15" i="14"/>
  <c r="I72" i="18"/>
  <c r="H19" i="25"/>
  <c r="G16" i="25"/>
  <c r="H13" i="25"/>
  <c r="G12" i="25"/>
  <c r="H11" i="25"/>
  <c r="H10" i="25"/>
  <c r="L99" i="24"/>
  <c r="I258" i="7"/>
  <c r="M99" i="24"/>
  <c r="F77" i="26"/>
  <c r="H76" i="26"/>
  <c r="H77" i="26"/>
  <c r="G43" i="14"/>
  <c r="H38" i="27"/>
  <c r="H40" i="27" s="1"/>
  <c r="I224" i="7"/>
  <c r="C22" i="1"/>
  <c r="K14" i="1"/>
  <c r="M151" i="7"/>
  <c r="F12" i="27"/>
  <c r="L21" i="27" s="1"/>
  <c r="O247" i="7"/>
  <c r="M30" i="1"/>
  <c r="M28" i="1"/>
  <c r="M167" i="7"/>
  <c r="M122" i="24"/>
  <c r="L91" i="24"/>
  <c r="L89" i="24"/>
  <c r="I277" i="7"/>
  <c r="I279" i="7" s="1"/>
  <c r="M97" i="24"/>
  <c r="M89" i="24"/>
  <c r="I268" i="7" s="1"/>
  <c r="I273" i="7" s="1"/>
  <c r="F18" i="6" s="1"/>
  <c r="L93" i="24"/>
  <c r="L78" i="24"/>
  <c r="M104" i="24"/>
  <c r="M91" i="24"/>
  <c r="H11" i="27"/>
  <c r="H15" i="27" s="1"/>
  <c r="H25" i="27" s="1"/>
  <c r="K13" i="1"/>
  <c r="D14" i="1"/>
  <c r="P89" i="24"/>
  <c r="R89" i="24" s="1"/>
  <c r="G24" i="14"/>
  <c r="M17" i="1"/>
  <c r="J21" i="27"/>
  <c r="I15" i="8"/>
  <c r="F23" i="8"/>
  <c r="O93" i="24"/>
  <c r="I254" i="7"/>
  <c r="M33" i="1"/>
  <c r="M38" i="1" s="1"/>
  <c r="I11" i="16"/>
  <c r="I15" i="16" s="1"/>
  <c r="F27" i="1"/>
  <c r="F33" i="1"/>
  <c r="H43" i="27"/>
  <c r="D38" i="27"/>
  <c r="B232" i="7"/>
  <c r="D27" i="6"/>
  <c r="K24" i="10"/>
  <c r="L24" i="10" s="1"/>
  <c r="M24" i="10" s="1"/>
  <c r="K14" i="10"/>
  <c r="G17" i="25"/>
  <c r="H17" i="25"/>
  <c r="F18" i="27"/>
  <c r="F23" i="25"/>
  <c r="F26" i="25" s="1"/>
  <c r="H15" i="25"/>
  <c r="K20" i="10"/>
  <c r="L20" i="10"/>
  <c r="M20" i="10" s="1"/>
  <c r="F22" i="10"/>
  <c r="J22" i="10"/>
  <c r="F18" i="10"/>
  <c r="J18" i="10"/>
  <c r="I234" i="7"/>
  <c r="I237" i="7" s="1"/>
  <c r="H9" i="25"/>
  <c r="G9" i="25"/>
  <c r="G23" i="25" s="1"/>
  <c r="K27" i="18"/>
  <c r="K87" i="24"/>
  <c r="F65" i="18"/>
  <c r="F72" i="18" s="1"/>
  <c r="J22" i="24"/>
  <c r="M234" i="7"/>
  <c r="K18" i="10"/>
  <c r="L18" i="10" s="1"/>
  <c r="M18" i="10" s="1"/>
  <c r="F28" i="10"/>
  <c r="K22" i="10"/>
  <c r="G23" i="14"/>
  <c r="D43" i="27"/>
  <c r="C27" i="1"/>
  <c r="B239" i="7"/>
  <c r="H47" i="27"/>
  <c r="J15" i="8"/>
  <c r="L87" i="24"/>
  <c r="M87" i="24"/>
  <c r="I269" i="7"/>
  <c r="H23" i="25"/>
  <c r="L22" i="10"/>
  <c r="M22" i="10" s="1"/>
  <c r="L14" i="10"/>
  <c r="J28" i="10"/>
  <c r="M14" i="10"/>
  <c r="K15" i="8"/>
  <c r="C35" i="1"/>
  <c r="D49" i="27"/>
  <c r="B246" i="7"/>
  <c r="F12" i="26"/>
  <c r="D9" i="6"/>
  <c r="B250" i="7"/>
  <c r="J60" i="26"/>
  <c r="B266" i="7"/>
  <c r="D14" i="6"/>
  <c r="B275" i="7"/>
  <c r="D18" i="6"/>
  <c r="B282" i="7"/>
  <c r="D21" i="6"/>
  <c r="B293" i="7"/>
  <c r="D26" i="6"/>
  <c r="B302" i="7"/>
  <c r="B307" i="7" s="1"/>
  <c r="B312" i="7" s="1"/>
  <c r="D33" i="6"/>
  <c r="D27" i="1" l="1"/>
  <c r="F43" i="27"/>
  <c r="F18" i="1"/>
  <c r="F38" i="1" s="1"/>
  <c r="F49" i="1" s="1"/>
  <c r="I38" i="14"/>
  <c r="I50" i="14" s="1"/>
  <c r="I54" i="14" s="1"/>
  <c r="F10" i="15"/>
  <c r="F14" i="15" s="1"/>
  <c r="K298" i="7"/>
  <c r="K300" i="7" s="1"/>
  <c r="H33" i="6" s="1"/>
  <c r="L16" i="10"/>
  <c r="M16" i="10" s="1"/>
  <c r="M28" i="10" s="1"/>
  <c r="B7" i="12" s="1"/>
  <c r="K28" i="10"/>
  <c r="L21" i="26" s="1"/>
  <c r="K30" i="1"/>
  <c r="F21" i="27"/>
  <c r="F23" i="27" s="1"/>
  <c r="J64" i="26"/>
  <c r="M22" i="24"/>
  <c r="L22" i="24"/>
  <c r="L85" i="24"/>
  <c r="M85" i="24"/>
  <c r="I248" i="7" s="1"/>
  <c r="J13" i="8"/>
  <c r="J23" i="8" s="1"/>
  <c r="K23" i="8" s="1"/>
  <c r="I23" i="8"/>
  <c r="M111" i="24"/>
  <c r="K118" i="24"/>
  <c r="K119" i="24" s="1"/>
  <c r="M94" i="24"/>
  <c r="L94" i="24"/>
  <c r="K29" i="1" s="1"/>
  <c r="K13" i="8"/>
  <c r="H32" i="27"/>
  <c r="H34" i="27" s="1"/>
  <c r="H52" i="27" s="1"/>
  <c r="I62" i="14" l="1"/>
  <c r="G52" i="14"/>
  <c r="H61" i="27"/>
  <c r="F10" i="27"/>
  <c r="F15" i="27" s="1"/>
  <c r="F25" i="27" s="1"/>
  <c r="N25" i="8"/>
  <c r="C7" i="12"/>
  <c r="D7" i="12" s="1"/>
  <c r="D9" i="12" s="1"/>
  <c r="I222" i="7" s="1"/>
  <c r="I225" i="7" s="1"/>
  <c r="K12" i="1"/>
  <c r="F44" i="27"/>
  <c r="D28" i="1"/>
  <c r="G26" i="14"/>
  <c r="L28" i="10"/>
  <c r="G13" i="14"/>
  <c r="G17" i="14" s="1"/>
  <c r="I261" i="7"/>
  <c r="J12" i="26"/>
  <c r="F9" i="6"/>
  <c r="K27" i="1"/>
  <c r="K33" i="1" s="1"/>
  <c r="M23" i="8"/>
  <c r="J32" i="26" l="1"/>
  <c r="L32" i="26" s="1"/>
  <c r="L37" i="26" s="1"/>
  <c r="L12" i="26"/>
  <c r="J10" i="26" s="1"/>
  <c r="K9" i="6"/>
  <c r="J11" i="6"/>
  <c r="F11" i="6"/>
  <c r="L16" i="26"/>
  <c r="I264" i="7"/>
  <c r="P12" i="1"/>
  <c r="K17" i="1"/>
  <c r="K38" i="1"/>
  <c r="M53" i="27"/>
  <c r="L51" i="27"/>
  <c r="J43" i="27"/>
  <c r="G27" i="14"/>
  <c r="G29" i="14" s="1"/>
  <c r="K43" i="27"/>
  <c r="I227" i="7"/>
  <c r="F27" i="6"/>
  <c r="J17" i="26" l="1"/>
  <c r="J21" i="26"/>
  <c r="D22" i="1"/>
  <c r="F38" i="27"/>
  <c r="F40" i="27" s="1"/>
  <c r="M264" i="7"/>
  <c r="N264" i="7" s="1"/>
  <c r="N265" i="7" s="1"/>
  <c r="F14" i="6"/>
  <c r="L13" i="26" s="1"/>
  <c r="L14" i="26" s="1"/>
  <c r="G16" i="26"/>
  <c r="J16" i="26"/>
  <c r="F10" i="26"/>
  <c r="G10" i="26"/>
  <c r="H10" i="26"/>
  <c r="H21" i="26" s="1"/>
  <c r="L19" i="26" l="1"/>
  <c r="L24" i="26" s="1"/>
  <c r="L28" i="26" s="1"/>
  <c r="F17" i="26"/>
  <c r="F21" i="26"/>
  <c r="F16" i="26"/>
  <c r="G17" i="26"/>
  <c r="G21" i="26"/>
  <c r="H16" i="26"/>
  <c r="F16" i="6"/>
  <c r="F24" i="6" s="1"/>
  <c r="F13" i="26"/>
  <c r="G13" i="26"/>
  <c r="G14" i="26" s="1"/>
  <c r="G19" i="26" s="1"/>
  <c r="G24" i="26" s="1"/>
  <c r="H13" i="26"/>
  <c r="J13" i="26"/>
  <c r="J14" i="26" s="1"/>
  <c r="J19" i="26" s="1"/>
  <c r="J24" i="26" s="1"/>
  <c r="J28" i="26" s="1"/>
  <c r="J30" i="26" s="1"/>
  <c r="L30" i="26" s="1"/>
  <c r="L36" i="26" s="1"/>
  <c r="L58" i="26" l="1"/>
  <c r="N14" i="26"/>
  <c r="O14" i="26" s="1"/>
  <c r="G10" i="14"/>
  <c r="G19" i="14" s="1"/>
  <c r="G31" i="14" s="1"/>
  <c r="J65" i="26"/>
  <c r="J66" i="26" s="1"/>
  <c r="L66" i="26" s="1"/>
  <c r="H14" i="26"/>
  <c r="H19" i="26" s="1"/>
  <c r="H24" i="26" s="1"/>
  <c r="H28" i="26" s="1"/>
  <c r="F14" i="26"/>
  <c r="F19" i="26" s="1"/>
  <c r="F24" i="26" s="1"/>
  <c r="F28" i="26" s="1"/>
  <c r="J61" i="26"/>
  <c r="J62" i="26" s="1"/>
  <c r="L62" i="26" s="1"/>
  <c r="L70" i="26" l="1"/>
  <c r="L72" i="26" s="1"/>
  <c r="L35" i="26" s="1"/>
  <c r="L39" i="26" s="1"/>
  <c r="L43" i="26" s="1"/>
  <c r="I286" i="7" l="1"/>
  <c r="I289" i="7" s="1"/>
  <c r="F26" i="6" s="1"/>
  <c r="L54" i="26"/>
  <c r="H40" i="18"/>
  <c r="N43" i="26"/>
  <c r="H72" i="18" l="1"/>
  <c r="F74" i="18" s="1"/>
  <c r="G44" i="18"/>
  <c r="F29" i="6"/>
  <c r="F31" i="6" s="1"/>
  <c r="J113" i="24"/>
  <c r="R31" i="14"/>
  <c r="R38" i="14" s="1"/>
  <c r="D22" i="9" l="1"/>
  <c r="D10" i="15"/>
  <c r="D14" i="15" s="1"/>
  <c r="J31" i="6"/>
  <c r="J32" i="6" s="1"/>
  <c r="I298" i="7"/>
  <c r="I300" i="7" s="1"/>
  <c r="F33" i="6" s="1"/>
  <c r="M113" i="24"/>
  <c r="L113" i="24"/>
  <c r="J116" i="24"/>
  <c r="K79" i="24"/>
  <c r="G72" i="18"/>
  <c r="G74" i="18" s="1"/>
  <c r="F75" i="18"/>
  <c r="M79" i="24" l="1"/>
  <c r="L79" i="24"/>
  <c r="L116" i="24" s="1"/>
  <c r="K116" i="24"/>
  <c r="E22" i="9"/>
  <c r="E25" i="9" s="1"/>
  <c r="D25" i="9"/>
  <c r="D16" i="1" l="1"/>
  <c r="D18" i="1" s="1"/>
  <c r="F32" i="27"/>
  <c r="F34" i="27" s="1"/>
  <c r="D30" i="1"/>
  <c r="F45" i="27"/>
  <c r="M121" i="24"/>
  <c r="M116" i="24"/>
  <c r="M118" i="24" s="1"/>
  <c r="O36" i="14" l="1"/>
  <c r="O31" i="14" s="1"/>
  <c r="F47" i="27"/>
  <c r="F52" i="27"/>
  <c r="D33" i="1"/>
  <c r="D38" i="1" s="1"/>
  <c r="L33" i="14"/>
  <c r="F61" i="27" l="1"/>
  <c r="J54" i="27"/>
  <c r="J55" i="27" s="1"/>
  <c r="I49" i="1"/>
  <c r="D48" i="1"/>
  <c r="G33" i="14"/>
  <c r="G36" i="14" s="1"/>
  <c r="G38" i="14" s="1"/>
  <c r="G50" i="14" s="1"/>
  <c r="G54" i="14" s="1"/>
  <c r="G62" i="14" s="1"/>
  <c r="O38" i="14"/>
</calcChain>
</file>

<file path=xl/comments1.xml><?xml version="1.0" encoding="utf-8"?>
<comments xmlns="http://schemas.openxmlformats.org/spreadsheetml/2006/main">
  <authors>
    <author>Arif Latif</author>
  </authors>
  <commentList>
    <comment ref="D28" authorId="0">
      <text>
        <r>
          <rPr>
            <b/>
            <sz val="8"/>
            <color indexed="81"/>
            <rFont val="Tahoma"/>
            <family val="2"/>
          </rPr>
          <t>Arif Latif:</t>
        </r>
        <r>
          <rPr>
            <sz val="8"/>
            <color indexed="81"/>
            <rFont val="Tahoma"/>
            <family val="2"/>
          </rPr>
          <t xml:space="preserve">
Inquire About Agreement</t>
        </r>
      </text>
    </comment>
  </commentList>
</comments>
</file>

<file path=xl/sharedStrings.xml><?xml version="1.0" encoding="utf-8"?>
<sst xmlns="http://schemas.openxmlformats.org/spreadsheetml/2006/main" count="1723" uniqueCount="595">
  <si>
    <t>Rupees</t>
  </si>
  <si>
    <t>CURRENT LIABILITIES</t>
  </si>
  <si>
    <t>CURRENT ASSETS</t>
  </si>
  <si>
    <t>Authorised</t>
  </si>
  <si>
    <t>ARIF LATIF SECURITIES (PVT) LIMITED</t>
  </si>
  <si>
    <t>Cash in hand</t>
  </si>
  <si>
    <t>CHIEF EXECUTIVE</t>
  </si>
  <si>
    <t>DIRECTOR</t>
  </si>
  <si>
    <t>Date</t>
  </si>
  <si>
    <t>Particulars</t>
  </si>
  <si>
    <t>Legal and professional charges</t>
  </si>
  <si>
    <t>NOTES TO THE FINANCIAL STATEMENTS</t>
  </si>
  <si>
    <t>COMPANY AND ITS OPERATION</t>
  </si>
  <si>
    <t>SUMMARY OF SIGNIFICANT ACCOUNTING POLICIES</t>
  </si>
  <si>
    <t>2.1</t>
  </si>
  <si>
    <t>BASIS OF PREPARATION</t>
  </si>
  <si>
    <t>These financial statements have been prepared in accordance with the approved accounting standards, as applicable in Pakistan. Approved accounting standards comprise of such Accounting and Financial Reporting Standards for Small Sized Entities issued by the Institute of Chartered Accountants of Pakistan and provisions of and directives issued under the Companies Ordinance,1984.In case requirements differ, the provisions or directives of the Companies Ordinance 1984 shall prevail.</t>
  </si>
  <si>
    <t>2.2</t>
  </si>
  <si>
    <t>ACCOUNTING CONVENTION</t>
  </si>
  <si>
    <t>These accounts have been prepared under the historical cost convention.</t>
  </si>
  <si>
    <t>2.3</t>
  </si>
  <si>
    <t>PROPERTY AND EQUIPMENT AND DEPRECIATION</t>
  </si>
  <si>
    <t>Property and equipment are stated at cost less accumulated depreciation.</t>
  </si>
  <si>
    <t>Depreciation is charged on reducing balance method at the rates mentioned in the note no. 3. Depreciation on addition is charged from the month the asset is available for use while no depreciation is charged in the month in which the asset is disposed off.</t>
  </si>
  <si>
    <t>Normal repair and maintenance is charged to revenue as and when incurred, while major renewals and replacement are capitalized.</t>
  </si>
  <si>
    <t>Gain or loss on disposal of property and equipment, if any is taken to profit and loss account.</t>
  </si>
  <si>
    <t>2.4</t>
  </si>
  <si>
    <t>ACCOUNT RECEIVABLES</t>
  </si>
  <si>
    <t>These are stated at net of provision for doubtful debts, if any. Account receivables are reviewed at each balance sheet date. Full provision is made against the debts considered doubtful. Bad debts and other receivables are written off as and when identified.</t>
  </si>
  <si>
    <t>2.5</t>
  </si>
  <si>
    <t>TRADE AND OTHER PAYABLES</t>
  </si>
  <si>
    <t>These are stated at cost.</t>
  </si>
  <si>
    <t>2.6</t>
  </si>
  <si>
    <t>TAXATION</t>
  </si>
  <si>
    <t>Current</t>
  </si>
  <si>
    <t>Provision for current taxation is based on taxable income at the applicable rates of taxation after taking into account tax credits and tax rebates available, if any, or minimum tax as envisaged u/s 233A of the Income Tax Ordinance, 2001, whichever is higher.</t>
  </si>
  <si>
    <t>Deferred</t>
  </si>
  <si>
    <t>The company accounts for deferred taxation using the liability method on all timing differences which are considered reversible in the foreseeable future.</t>
  </si>
  <si>
    <t>The carrying amount of deferred tax assets is reviewed at each balance sheet date and reduced to the extent that it is no longer probable that sufficient taxable profits will be available to allow all or part of the deferred tax assets to be utilized.</t>
  </si>
  <si>
    <t>The annexed notes form an integral part of these financial statements.</t>
  </si>
  <si>
    <t>Fee and subscription</t>
  </si>
  <si>
    <t xml:space="preserve">STATEMENT OF CHANGES IN EQUITY </t>
  </si>
  <si>
    <t>Total</t>
  </si>
  <si>
    <t>Profit for the year</t>
  </si>
  <si>
    <t>PROFIT AND LOSS ACCOUNT</t>
  </si>
  <si>
    <t>2013</t>
  </si>
  <si>
    <t>Trade and other payables</t>
  </si>
  <si>
    <t>-</t>
  </si>
  <si>
    <t>NON CURRENT-ASSETS</t>
  </si>
  <si>
    <t>Property and Equipment</t>
  </si>
  <si>
    <t>Long term deposits</t>
  </si>
  <si>
    <t>Account receivables</t>
  </si>
  <si>
    <t>Note</t>
  </si>
  <si>
    <t>Brokerage and commission</t>
  </si>
  <si>
    <t>Operating expenses</t>
  </si>
  <si>
    <t>Finance cost</t>
  </si>
  <si>
    <t>PROFIT BEFORE TAXATION</t>
  </si>
  <si>
    <t>Provision for taxation</t>
  </si>
  <si>
    <t xml:space="preserve"> - Current</t>
  </si>
  <si>
    <t xml:space="preserve"> - Deferred</t>
  </si>
  <si>
    <t>The annexed notes form an integral part of these financial statement.</t>
  </si>
  <si>
    <t>Electricity and water expenses</t>
  </si>
  <si>
    <t>Earnings per share</t>
  </si>
  <si>
    <t>22.</t>
  </si>
  <si>
    <t>TRANSACTIONS WITH RELATED PARTIES</t>
  </si>
  <si>
    <t>Associated Company</t>
  </si>
  <si>
    <t>Funds transferred</t>
  </si>
  <si>
    <t>23.</t>
  </si>
  <si>
    <t>2.7</t>
  </si>
  <si>
    <t>2.8</t>
  </si>
  <si>
    <t>REVENUE RECOGNITION</t>
  </si>
  <si>
    <t>Brokerage income is recorded on the date of transaction.</t>
  </si>
  <si>
    <t>Capital gains or losses on sale of marketable securities are accounted for the year in which they arise.</t>
  </si>
  <si>
    <t>Dividend income is recognized on receipt basis.</t>
  </si>
  <si>
    <t>Deferred tax is calculated at the rates expected to apply to the period when the related temporary differences reverse, based on tax rates that have been enacted or substantially enacted by the balance sheet date.</t>
  </si>
  <si>
    <t>ACCOUNTS RECEIVABLES</t>
  </si>
  <si>
    <t>These are receivable against purchase of shares on behalf of client and commission charged thereof and these are unsecured but considered good by the management of the company.</t>
  </si>
  <si>
    <t>CASH AND BANK BALANCES</t>
  </si>
  <si>
    <t>These were held as under:</t>
  </si>
  <si>
    <t>In hand</t>
  </si>
  <si>
    <t>At bank - on current accounts</t>
  </si>
  <si>
    <t>SHARE CAPITAL</t>
  </si>
  <si>
    <t>Authorized</t>
  </si>
  <si>
    <t>Creditors for sale of shares on behalf of clients</t>
  </si>
  <si>
    <t>Accrued expense</t>
  </si>
  <si>
    <t>BROKERAGE AND COMMISSION</t>
  </si>
  <si>
    <t>Commission income</t>
  </si>
  <si>
    <t>OPERATING EXPENSES</t>
  </si>
  <si>
    <t>Staff salaries and benefits</t>
  </si>
  <si>
    <t>Communication expenses</t>
  </si>
  <si>
    <t>Postage and courier charges</t>
  </si>
  <si>
    <t xml:space="preserve">Depreciation                                               </t>
  </si>
  <si>
    <t>Others</t>
  </si>
  <si>
    <t>FINANCE COST</t>
  </si>
  <si>
    <t>Bank charges</t>
  </si>
  <si>
    <t>DATE OF AUTHORISATION FOR ISSUE</t>
  </si>
  <si>
    <t>GENERAL</t>
  </si>
  <si>
    <t>Figures have been rounded off to the nearest of rupee.</t>
  </si>
  <si>
    <t>PROPERTY AND EQUIPMENT</t>
  </si>
  <si>
    <t xml:space="preserve">Cost </t>
  </si>
  <si>
    <t>Depreciation</t>
  </si>
  <si>
    <t>WDV</t>
  </si>
  <si>
    <t xml:space="preserve">As at June </t>
  </si>
  <si>
    <t>Rate</t>
  </si>
  <si>
    <t>As at June</t>
  </si>
  <si>
    <t>Charge for the year</t>
  </si>
  <si>
    <t>%</t>
  </si>
  <si>
    <t>OWNED</t>
  </si>
  <si>
    <t>Furniture and fittings</t>
  </si>
  <si>
    <t>Computers</t>
  </si>
  <si>
    <t>FEB</t>
  </si>
  <si>
    <t xml:space="preserve">Rupees  </t>
  </si>
  <si>
    <t>Air Conditioner</t>
  </si>
  <si>
    <t>Office equipment</t>
  </si>
  <si>
    <t>Cash and bank balances</t>
  </si>
  <si>
    <t xml:space="preserve">Paid up Capital </t>
  </si>
  <si>
    <t>Accumulated  Profit</t>
  </si>
  <si>
    <t>------------------(R  u  p  e  e  s)------------------</t>
  </si>
  <si>
    <t>Balance as at June 30, 2013</t>
  </si>
  <si>
    <t>Intangible assets</t>
  </si>
  <si>
    <t>NUMBER OF EMPLOYEES</t>
  </si>
  <si>
    <t>(--------N u m b e r-------)</t>
  </si>
  <si>
    <t>INTANGIBLE ASSETS</t>
  </si>
  <si>
    <t>Acquired during the year</t>
  </si>
  <si>
    <t>SCHEDULE OF TANGIBLE FIXED ASSETS (As per Income Tax Ordinance, 2001)</t>
  </si>
  <si>
    <t>Additions /                     (Deletions)</t>
  </si>
  <si>
    <t>DEPRECIATION</t>
  </si>
  <si>
    <t>Rate
%</t>
  </si>
  <si>
    <t>Initial</t>
  </si>
  <si>
    <t>Normal</t>
  </si>
  <si>
    <t>Building - Shop</t>
  </si>
  <si>
    <t>+</t>
  </si>
  <si>
    <t>Telephone and mobile</t>
  </si>
  <si>
    <t>Funiture and fixture</t>
  </si>
  <si>
    <t>Vehicle</t>
  </si>
  <si>
    <t>Other assets</t>
  </si>
  <si>
    <t xml:space="preserve">Rupees </t>
  </si>
  <si>
    <t>Less tax paid:</t>
  </si>
  <si>
    <t>Opening balance</t>
  </si>
  <si>
    <t>Purchase of shares</t>
  </si>
  <si>
    <t>Sale of shares</t>
  </si>
  <si>
    <t>Telephone</t>
  </si>
  <si>
    <t>Bank profit</t>
  </si>
  <si>
    <t>Due to directors - Unsecured and interest free</t>
  </si>
  <si>
    <t>Accounting Base</t>
  </si>
  <si>
    <t>Long term investments</t>
  </si>
  <si>
    <t>LONG TERM INVESTMENTS</t>
  </si>
  <si>
    <t>Tax payable</t>
  </si>
  <si>
    <t>Trading Right Entitlement Certificate (TREC)</t>
  </si>
  <si>
    <t>FINANCIAL ASSETS</t>
  </si>
  <si>
    <t>Held to Maturity</t>
  </si>
  <si>
    <t>Available-for-Sale</t>
  </si>
  <si>
    <t>At fair Value Through Profit or Loss</t>
  </si>
  <si>
    <t xml:space="preserve">Intangible assets with finite useful life are stated at cost less amortization and impairment, if any. The carrying amount is reviewed at each balance sheet date to assess whether it is in excess of its recoverable amount, and where carrying value exceeds estimated recoverable amount, it is written down to estimated recoverable amount.   </t>
  </si>
  <si>
    <t>The investments with fixed maturity, if any, that the company has to positive intent and ability to hold to maturity. Held to maturity investments are initially measured at fair value plus transaction costs and are subsequently stated at amortized cost  using the effective interest rate method less impairment, if any. These are classified as current and non-current assets in accordance with criteria set out by IFRSs.</t>
  </si>
  <si>
    <t>Available-for-sale financial assets include equity and debt securities. Equity investments classified as available-for-sale are those, which are neither classified as held for trading nor designated at fair value through profit or loss. Debt securities in this category are those which are intended to be held for an indefinite period of time.</t>
  </si>
  <si>
    <t>At initial recognition, available-for-sale financial assets are measured at fair value plus directly attributable transaction costs. For investments traded in active market, fair value is determined by reference to quoted market price and the investments for which a quoted market price is not available, or the fair value cannot be reasonably calculated, are measured at cost, subject to impairment review at each balance sheet date.</t>
  </si>
  <si>
    <t>4.1</t>
  </si>
  <si>
    <t>Rights of room</t>
  </si>
  <si>
    <t xml:space="preserve">Available for sale investment </t>
  </si>
  <si>
    <t>Unquoted - Shares of Lahore Stock Exchange Limited (LSE)</t>
  </si>
  <si>
    <t>5.1</t>
  </si>
  <si>
    <t>Number of employees at the end of the year</t>
  </si>
  <si>
    <t>EARNING PER SHARE</t>
  </si>
  <si>
    <t>2.6.1</t>
  </si>
  <si>
    <t>2.6.2</t>
  </si>
  <si>
    <t>2.6.3</t>
  </si>
  <si>
    <t>CASH FLOWS FROM OPERATING ACTIVITIES</t>
  </si>
  <si>
    <t>Adjustments for non cash items:</t>
  </si>
  <si>
    <t>Operating cash Flows Before Working capital changes</t>
  </si>
  <si>
    <t>Changes in Working Capital</t>
  </si>
  <si>
    <t>(Increase) / decrease in current assets</t>
  </si>
  <si>
    <t>Accounts receivables</t>
  </si>
  <si>
    <t>Increase / (decrease) in current liabilities</t>
  </si>
  <si>
    <t>Trade and other payable</t>
  </si>
  <si>
    <t>Cash Outflow From Operations</t>
  </si>
  <si>
    <t>Taxes paid</t>
  </si>
  <si>
    <t>Finance cost paid</t>
  </si>
  <si>
    <t>Net cash Flows From Operating Activities</t>
  </si>
  <si>
    <t>CASH FLOWS FROM INVESTING ACTIVITIES</t>
  </si>
  <si>
    <t>Net cash Flows From Investing Activities</t>
  </si>
  <si>
    <t>CASH FLOWS FROM FINANCING ACTIVITIES</t>
  </si>
  <si>
    <t>Net Cash Flows From Financing Activities</t>
  </si>
  <si>
    <t>NET DECREASE IN CASH AND CASH EQUIVALENTS</t>
  </si>
  <si>
    <t>CASH AND CASH EQUIVALENTS AT THE BEGINNING OF THE YEAR</t>
  </si>
  <si>
    <t>CASH AND CASH EQUIVALENTS AT THE END OF THE YEAR</t>
  </si>
  <si>
    <t xml:space="preserve">CASH FLOW STATEMENT </t>
  </si>
  <si>
    <t xml:space="preserve">Due to directors </t>
  </si>
  <si>
    <t>STATEMENT OF COMPREHENSIVE INCOME</t>
  </si>
  <si>
    <t>NON CURRENT LIABILITIES</t>
  </si>
  <si>
    <t>Deferred taxation</t>
  </si>
  <si>
    <t>DEFERRED TAXATION</t>
  </si>
  <si>
    <t>Deferred credits/(debits) arising due to:</t>
  </si>
  <si>
    <t>Accelerated tax depreciation</t>
  </si>
  <si>
    <t>Balance as at July 01,</t>
  </si>
  <si>
    <t>At year end net deductible temporary differences amounting  Rs.  24,891 (2012:Rs.nil) which results in a net deferred tax asset of Rs. 8,463 (2012:Rs.nil). However, deferred tax asset has not been recognized in these financial statements being prudent. Management is of the view that recognition of  deferred tax asset shall be reassessed as at June 30, 2014.</t>
  </si>
  <si>
    <t>Telephone and mobile set</t>
  </si>
  <si>
    <t>The company was incorporated as Private Limited Company on February 10, 2004 under the Companies Ordinance, 1984. The company is engaged in the business of share brokerage and investment in securities. The registered office of the Company is situated at 4th Floor, Room No. 414 and 415, 19- Khayaban-e-Aiwan-e-Iqbal, Lahore.</t>
  </si>
  <si>
    <t>The company is holder of Trading Right Entitlement Certificate (TREC) Holder of Lahore Stock Exchange.</t>
  </si>
  <si>
    <t>Financial assets are classified in the following categories: Held-to-maturity, at fair value through profit or loss, available-for-sale and loans and receivables. The classification depends on the purpose for which the financial assets were acquired. The company determines the classification of its financial assets at initial recognition and, where allowed and appropriate, re-evaluates the designation at each balance sheet date.</t>
  </si>
  <si>
    <t>All investments classified as investments at fair value through profit or loss are initially measured at cost being fair value of consideration given. All transaction costs are recognized directly in profit and loss account. At subsequent dates these investments are measured at fair value, determined on the basis of prevailing market prices, with any resulting gain or loss recognized directly in the profit and loss account. These are classifieds current and non-current assets in accordance with criteria set out by IFRSs. The company has not classified any financial asset as held for trading.</t>
  </si>
  <si>
    <t>Comparative figures have been rearranged wherever needed for comparison purpose, however, there were no material rearrangements need to be disclosed.</t>
  </si>
  <si>
    <t>Auditor's remuneration</t>
  </si>
  <si>
    <t>Deferred tax assets are recognized to the extent that it is probable that future taxable profits will be available against which the temporary differences can be utilized.</t>
  </si>
  <si>
    <t>CONTINGENCIES AND COMMITMENTS</t>
  </si>
  <si>
    <t xml:space="preserve">Issued, subscribed and paid up </t>
  </si>
  <si>
    <t>Issued, subscribed and paid up</t>
  </si>
  <si>
    <t>An investment is classified at fair value through profit or loss, if any, if it is held for trading or is designated as such upon initial recognition. Financial instruments are classified as held for trading if thy are acquired for the purpose of selling and repurchase in near term. Held for trading assets and acquired principally for the purpose of generating a profit form short-term fluctuation in price. Financial instruments are designed at fair value through profit or loss if the company manages such investments and makes sales and purchase decision based on their fair value in accordance with the company's strategy.</t>
  </si>
  <si>
    <t>2014</t>
  </si>
  <si>
    <t>30, 2014</t>
  </si>
  <si>
    <t>Balance as at June 30, 2014</t>
  </si>
  <si>
    <r>
      <rPr>
        <b/>
        <sz val="12"/>
        <rFont val="Times New Roman"/>
        <family val="1"/>
      </rPr>
      <t xml:space="preserve">W D V   </t>
    </r>
    <r>
      <rPr>
        <sz val="12"/>
        <rFont val="Times New Roman"/>
        <family val="1"/>
      </rPr>
      <t xml:space="preserve">               As at June                                   30, 2014</t>
    </r>
  </si>
  <si>
    <t>Rent, rate and taxes</t>
  </si>
  <si>
    <t>Electricity charges</t>
  </si>
  <si>
    <t>Elixer securities</t>
  </si>
  <si>
    <t>Seemi Arif Latif</t>
  </si>
  <si>
    <t>Account Receivables:</t>
  </si>
  <si>
    <t>Umer Ahmad</t>
  </si>
  <si>
    <t>Mohammad Aslam Zafar</t>
  </si>
  <si>
    <t>Arif Latif</t>
  </si>
  <si>
    <t>Creditors:</t>
  </si>
  <si>
    <t>Difference</t>
  </si>
  <si>
    <t>Balance as per opening trial</t>
  </si>
  <si>
    <t>Balance as per audited accounts</t>
  </si>
  <si>
    <t>Detail of difference in opening trial and audited accounts</t>
  </si>
  <si>
    <t>AC</t>
  </si>
  <si>
    <t>Title</t>
  </si>
  <si>
    <t>O/Balance</t>
  </si>
  <si>
    <t>Debits</t>
  </si>
  <si>
    <t>Credits</t>
  </si>
  <si>
    <t>DB_Balances</t>
  </si>
  <si>
    <t>CR_Balances</t>
  </si>
  <si>
    <t>--------</t>
  </si>
  <si>
    <t>--</t>
  </si>
  <si>
    <t>-------------------------</t>
  </si>
  <si>
    <t>---------------</t>
  </si>
  <si>
    <t>-----------------</t>
  </si>
  <si>
    <t>AA</t>
  </si>
  <si>
    <t>ARIF LATIF SECURITIES</t>
  </si>
  <si>
    <t>CR</t>
  </si>
  <si>
    <t>ORDINARY SHARE CAPITAL</t>
  </si>
  <si>
    <t>CA</t>
  </si>
  <si>
    <t>FED</t>
  </si>
  <si>
    <t>FED ON COMMISSION</t>
  </si>
  <si>
    <t>ACCOUNTS PAYABLES</t>
  </si>
  <si>
    <t>DA</t>
  </si>
  <si>
    <t>Computer Account</t>
  </si>
  <si>
    <t>DB</t>
  </si>
  <si>
    <t>Telephone &amp; Mobile Set.</t>
  </si>
  <si>
    <t>Furniture &amp; Fixture</t>
  </si>
  <si>
    <t>Office Equipment</t>
  </si>
  <si>
    <t>FIXED ASSETS</t>
  </si>
  <si>
    <t>EA</t>
  </si>
  <si>
    <t>Adv.N.C Fee &amp; BTB</t>
  </si>
  <si>
    <t>ADV CDC Membership Fee</t>
  </si>
  <si>
    <t>MEMBERSHIP</t>
  </si>
  <si>
    <t>FA</t>
  </si>
  <si>
    <t>LSE (T+3)</t>
  </si>
  <si>
    <t>Loan Account(Arif Latif)</t>
  </si>
  <si>
    <t>PEARL SECURITIES LTD</t>
  </si>
  <si>
    <t>LSE PROVISSIONAL</t>
  </si>
  <si>
    <t>Fair Trade Capital Sec</t>
  </si>
  <si>
    <t>Mrs Sobia Atif</t>
  </si>
  <si>
    <t>OPTIMUS CAP MANAGT PVT LT</t>
  </si>
  <si>
    <t>Arif Latif Sec.Pvt LTD</t>
  </si>
  <si>
    <t>Atif Arif</t>
  </si>
  <si>
    <t>Shamim Jamal</t>
  </si>
  <si>
    <t>ARIF LATIF</t>
  </si>
  <si>
    <t>Adeel Arif</t>
  </si>
  <si>
    <t>Muhammad Ali</t>
  </si>
  <si>
    <t>INVEST CAPITAL INV BANK</t>
  </si>
  <si>
    <t>ELIXIR SECURITIES PAKISTA</t>
  </si>
  <si>
    <t>Bashir Ahmed(MCB)</t>
  </si>
  <si>
    <t>Lubna ravid</t>
  </si>
  <si>
    <t>RIZWAN RAZIQ</t>
  </si>
  <si>
    <t>Muhammad Nadeem</t>
  </si>
  <si>
    <t>Humayun Aziz Bantth</t>
  </si>
  <si>
    <t>Maqsood Ahmed</t>
  </si>
  <si>
    <t>Mohsin Zubair</t>
  </si>
  <si>
    <t>Shahzad Hassan</t>
  </si>
  <si>
    <t>AHSAN HASSAN KHAWAJA</t>
  </si>
  <si>
    <t>NEELAM KHALID</t>
  </si>
  <si>
    <t>Shan Ahmed</t>
  </si>
  <si>
    <t>USMAN MAHMOOD</t>
  </si>
  <si>
    <t>S.M. MATEEN</t>
  </si>
  <si>
    <t>UMER AHMED</t>
  </si>
  <si>
    <t>Mehmood Ahmed</t>
  </si>
  <si>
    <t>HASSAN MEHMOOD</t>
  </si>
  <si>
    <t>Maqbool Ahmad Shahid</t>
  </si>
  <si>
    <t>QAISRA MEHMOOD</t>
  </si>
  <si>
    <t>MOHAMMED IDREES</t>
  </si>
  <si>
    <t>MUHAMMAD NADEEM</t>
  </si>
  <si>
    <t>NAZIR AHMAD</t>
  </si>
  <si>
    <t>Hunaid Muhammad Qasim</t>
  </si>
  <si>
    <t>MUHAMMAD SARWAR KHAWAJA</t>
  </si>
  <si>
    <t>IRFAN UR REHMAN RAJA</t>
  </si>
  <si>
    <t>AHMED NADEEM</t>
  </si>
  <si>
    <t>TABASSUM ZAHOOR</t>
  </si>
  <si>
    <t>NCS</t>
  </si>
  <si>
    <t>FE</t>
  </si>
  <si>
    <t>Accrued Liabilities</t>
  </si>
  <si>
    <t>INVESTMENTS - STOCKS</t>
  </si>
  <si>
    <t>FZ</t>
  </si>
  <si>
    <t>CASH IN HAND</t>
  </si>
  <si>
    <t>Bank Al-Habib 302-01-8</t>
  </si>
  <si>
    <t>ARIF LATIF SECURITIES(PVT</t>
  </si>
  <si>
    <t>profit on finance 571-01-</t>
  </si>
  <si>
    <t>PROFIT ON FINANCE 571-02-</t>
  </si>
  <si>
    <t>CASH &amp; BANK BALANCES</t>
  </si>
  <si>
    <t>KA</t>
  </si>
  <si>
    <t>COMMISSION INCOME  (REG)</t>
  </si>
  <si>
    <t>COMMISSION INCOME</t>
  </si>
  <si>
    <t>MB</t>
  </si>
  <si>
    <t>Staff Salries</t>
  </si>
  <si>
    <t>SALARIES WAGES &amp; BENEFITS</t>
  </si>
  <si>
    <t>MD</t>
  </si>
  <si>
    <t>Telephone Bill Charges</t>
  </si>
  <si>
    <t>Postage &amp; Telegram Charge</t>
  </si>
  <si>
    <t>POSTAGE,TELEPHONE &amp; TELEX</t>
  </si>
  <si>
    <t>ME</t>
  </si>
  <si>
    <t>Electricity Charges</t>
  </si>
  <si>
    <t>ELECTRICITY &amp; GAS</t>
  </si>
  <si>
    <t>MF</t>
  </si>
  <si>
    <t>Stationary &amp; Printing</t>
  </si>
  <si>
    <t>PRINTING &amp; STATIONERY</t>
  </si>
  <si>
    <t>ML</t>
  </si>
  <si>
    <t>Tax Consultant Fee</t>
  </si>
  <si>
    <t>LEGAL &amp; PROFESSIONAL</t>
  </si>
  <si>
    <t>MM</t>
  </si>
  <si>
    <t>Entertainment Expences</t>
  </si>
  <si>
    <t>Office Misc.Expenses</t>
  </si>
  <si>
    <t>Maintenance Expenses</t>
  </si>
  <si>
    <t>SECP FEE</t>
  </si>
  <si>
    <t>Computer Expenses</t>
  </si>
  <si>
    <t>LSE - Property Tax</t>
  </si>
  <si>
    <t>OTHERS</t>
  </si>
  <si>
    <t>OA</t>
  </si>
  <si>
    <t>Bank Charges</t>
  </si>
  <si>
    <t>FINANCIAL EXPENSES</t>
  </si>
  <si>
    <t>===============</t>
  </si>
  <si>
    <t>==</t>
  </si>
  <si>
    <t>=================</t>
  </si>
  <si>
    <t>GRAND TOTAL</t>
  </si>
  <si>
    <t>Dividend</t>
  </si>
  <si>
    <t>Sr.No</t>
  </si>
  <si>
    <t>Dr</t>
  </si>
  <si>
    <t>Cr</t>
  </si>
  <si>
    <t>Status</t>
  </si>
  <si>
    <t>Balance Sheet</t>
  </si>
  <si>
    <t>Profit &amp; Loss</t>
  </si>
  <si>
    <t>OTHER OPERATING INCOME</t>
  </si>
  <si>
    <t>Dividend income</t>
  </si>
  <si>
    <t>Unrealized gain on remeasurement of</t>
  </si>
  <si>
    <t xml:space="preserve">   investment at fair value through profit and loss</t>
  </si>
  <si>
    <t>Capital gain on marketable securities</t>
  </si>
  <si>
    <t>Investment at fair value through profit and loss</t>
  </si>
  <si>
    <t>Arif Latif Securities (Pvt.) Ltd</t>
  </si>
  <si>
    <t>Room No. 414-415, LSE Building. Lahore (Ph: 36311611-13)</t>
  </si>
  <si>
    <t>TRAIL BALANCE COMBINED (From AA-AA001 To: OA-M0029)</t>
  </si>
  <si>
    <t>CG</t>
  </si>
  <si>
    <t>OTHER INCOME(DIVIDEND)</t>
  </si>
  <si>
    <t>TAX ON DIVIDEND</t>
  </si>
  <si>
    <t>Capital gain</t>
  </si>
  <si>
    <t>Posted</t>
  </si>
  <si>
    <t>INVESTMENTS AT FAIR VALUE THROUGH PROFIT AND LOSS</t>
  </si>
  <si>
    <t>Investment - listed companies</t>
  </si>
  <si>
    <t>Cost</t>
  </si>
  <si>
    <t>Gain on remeasurement of fair</t>
  </si>
  <si>
    <t>Unrealized gain on remeasurement of investment</t>
  </si>
  <si>
    <t>PROVISION FOR TAXATION</t>
  </si>
  <si>
    <t>CAPITAL GAIN</t>
  </si>
  <si>
    <t>Income</t>
  </si>
  <si>
    <t>Profit as per accounts</t>
  </si>
  <si>
    <t>TAX LIABILITY</t>
  </si>
  <si>
    <t>Other operating income</t>
  </si>
  <si>
    <t>Taxable /(deductible)temporary difference</t>
  </si>
  <si>
    <t>Tax Base</t>
  </si>
  <si>
    <t>Profit before taxation</t>
  </si>
  <si>
    <t>Net profit for the year</t>
  </si>
  <si>
    <t>Earning per share</t>
  </si>
  <si>
    <t>EARNING PER SHARE- BASIC</t>
  </si>
  <si>
    <t xml:space="preserve">Vehicle running and maintenance </t>
  </si>
  <si>
    <t>Total comprehensive income for the year</t>
  </si>
  <si>
    <t>No.of shares</t>
  </si>
  <si>
    <t>Break up value per share</t>
  </si>
  <si>
    <t>A</t>
  </si>
  <si>
    <t>B</t>
  </si>
  <si>
    <t>C</t>
  </si>
  <si>
    <t>D=B*C</t>
  </si>
  <si>
    <t>Unrealized gain on remeasurement of long term investment</t>
  </si>
  <si>
    <t>E=D-A</t>
  </si>
  <si>
    <t>This consist of:</t>
  </si>
  <si>
    <t>For the year</t>
  </si>
  <si>
    <t>Prior years</t>
  </si>
  <si>
    <t>TAXATION - CURRENT</t>
  </si>
  <si>
    <t>PROFIT FOR THE YEAR</t>
  </si>
  <si>
    <t>2.9</t>
  </si>
  <si>
    <t>BALANCE SHEET AS AT JUNE 30, 2015</t>
  </si>
  <si>
    <t>2015</t>
  </si>
  <si>
    <t>FOR THE YEAR ENDED JUNE 30, 2015</t>
  </si>
  <si>
    <t>Balance as at June 30, 2015</t>
  </si>
  <si>
    <t>30, 2015</t>
  </si>
  <si>
    <t xml:space="preserve"> 2014        Rupees</t>
  </si>
  <si>
    <t>value of investment as at June 30, 2015</t>
  </si>
  <si>
    <t>Contingencies and commitments as at balance sheet date were Rs. Nil ( 2014: Rs. Nil).</t>
  </si>
  <si>
    <t>AS AT JUNE 30, 2015</t>
  </si>
  <si>
    <t>Value                                                As at June                          30, 2015</t>
  </si>
  <si>
    <r>
      <rPr>
        <b/>
        <sz val="12"/>
        <rFont val="Times New Roman"/>
        <family val="1"/>
      </rPr>
      <t xml:space="preserve">W D V   </t>
    </r>
    <r>
      <rPr>
        <sz val="12"/>
        <rFont val="Times New Roman"/>
        <family val="1"/>
      </rPr>
      <t xml:space="preserve">               As at June                                   30, 2015</t>
    </r>
  </si>
  <si>
    <t>Waqas Majid</t>
  </si>
  <si>
    <t>Co</t>
  </si>
  <si>
    <t>de</t>
  </si>
  <si>
    <t>---</t>
  </si>
  <si>
    <t>AB</t>
  </si>
  <si>
    <t>RETAINED EARNING</t>
  </si>
  <si>
    <t>RESERVES</t>
  </si>
  <si>
    <t>30/06/15</t>
  </si>
  <si>
    <t>CDC ANNUAL RENEWAL CHARGE</t>
  </si>
  <si>
    <t>NCS ANNUAL RENEWAL CHARGE</t>
  </si>
  <si>
    <t>DRAWINGS</t>
  </si>
  <si>
    <t>CD</t>
  </si>
  <si>
    <t>CDC CHARGES</t>
  </si>
  <si>
    <t>T</t>
  </si>
  <si>
    <t>CAPITAL GAIN TAX</t>
  </si>
  <si>
    <t>CV</t>
  </si>
  <si>
    <t>Capital Value Tax  0.01%</t>
  </si>
  <si>
    <t>D</t>
  </si>
  <si>
    <t>25/06/15</t>
  </si>
  <si>
    <t>JS GLOBAL CAPITAL LIMITD</t>
  </si>
  <si>
    <t>Syed Bilal Haider</t>
  </si>
  <si>
    <t>0C</t>
  </si>
  <si>
    <t>HARRIS HASSAN SYED</t>
  </si>
  <si>
    <t>20/05/15</t>
  </si>
  <si>
    <t>Adeel Ahmed Khan</t>
  </si>
  <si>
    <t>26/06/15</t>
  </si>
  <si>
    <t>MIAN MUHAMMAD ATTA</t>
  </si>
  <si>
    <t>ABDUL GHAFOOR QURESHI</t>
  </si>
  <si>
    <t>RABIA WASIQ</t>
  </si>
  <si>
    <t>27/05/15</t>
  </si>
  <si>
    <t>MUHAMMAD IMTIAZ HASAN</t>
  </si>
  <si>
    <t>21/05/15</t>
  </si>
  <si>
    <t>RANA AZMAT ALI KHAN</t>
  </si>
  <si>
    <t>MUHAMMAD SAEED AKHTAR</t>
  </si>
  <si>
    <t>ZARAR AHMAD SHAHID</t>
  </si>
  <si>
    <t>KHALID ABDUL KHALIQ</t>
  </si>
  <si>
    <t>NC</t>
  </si>
  <si>
    <t>S</t>
  </si>
  <si>
    <t>M0</t>
  </si>
  <si>
    <t>27/01/15</t>
  </si>
  <si>
    <t>TAX PAYABLE</t>
  </si>
  <si>
    <t>DEFERRED TAX</t>
  </si>
  <si>
    <t>Commission Income (Fut)</t>
  </si>
  <si>
    <t>OTHER INCOME(BANK PROFIT)</t>
  </si>
  <si>
    <t>30/04/15</t>
  </si>
  <si>
    <t>29/05/15</t>
  </si>
  <si>
    <t>27/11/14</t>
  </si>
  <si>
    <t>Ground Rent LSE</t>
  </si>
  <si>
    <t>PROFESSIONAL TAX</t>
  </si>
  <si>
    <t>INTERNET CHARGES</t>
  </si>
  <si>
    <t>AW</t>
  </si>
  <si>
    <t>HTS</t>
  </si>
  <si>
    <t>on member sale</t>
  </si>
  <si>
    <t>18/06/15</t>
  </si>
  <si>
    <t>Vehicle Expenses</t>
  </si>
  <si>
    <t>19/03/15</t>
  </si>
  <si>
    <t>17/06/15</t>
  </si>
  <si>
    <t>VEHICLE EXPENSE 13-14</t>
  </si>
  <si>
    <t>SECURITY STAFF</t>
  </si>
  <si>
    <t>SALARY ADMIN</t>
  </si>
  <si>
    <t>22/06/15</t>
  </si>
  <si>
    <t>CAPITAL GAIN TAX AL INV.</t>
  </si>
  <si>
    <t>31/03/15</t>
  </si>
  <si>
    <t>_x001A_</t>
  </si>
  <si>
    <t>FROM 01/07/2014 TO: 30/06/2015</t>
  </si>
  <si>
    <t>Auditors renumeration</t>
  </si>
  <si>
    <t>UNADJUSTED BALANCE</t>
  </si>
  <si>
    <t>ADJUSTMENTS BY AUDITOR</t>
  </si>
  <si>
    <t>ADJUSTED BALANCE</t>
  </si>
  <si>
    <t>DEBIT</t>
  </si>
  <si>
    <t>CREDIT</t>
  </si>
  <si>
    <t>MAIN CLASSIFICATION</t>
  </si>
  <si>
    <t>SUB CLASSIFICATION</t>
  </si>
  <si>
    <t>Share Capital</t>
  </si>
  <si>
    <t>Accumulated profits</t>
  </si>
  <si>
    <t>Fixed assets</t>
  </si>
  <si>
    <t>Computer</t>
  </si>
  <si>
    <t xml:space="preserve">Air Conditioner </t>
  </si>
  <si>
    <t>Furniture &amp; fittings</t>
  </si>
  <si>
    <t>Due to director</t>
  </si>
  <si>
    <t>Trade creditor</t>
  </si>
  <si>
    <t>provision for taxation</t>
  </si>
  <si>
    <t>cash at bank</t>
  </si>
  <si>
    <t>Capital gain on market securities</t>
  </si>
  <si>
    <t>Tax deducted at source</t>
  </si>
  <si>
    <t>Vehicle running and maintenance</t>
  </si>
  <si>
    <t>Auditors Renumeration</t>
  </si>
  <si>
    <t>Advance Tax</t>
  </si>
  <si>
    <t>Telephone Expense</t>
  </si>
  <si>
    <t>Telephone expense</t>
  </si>
  <si>
    <t>Maintenace charges</t>
  </si>
  <si>
    <t>Internet Expense</t>
  </si>
  <si>
    <t>Profit On Finance</t>
  </si>
  <si>
    <t>Bank A/C</t>
  </si>
  <si>
    <t>Electricity exp</t>
  </si>
  <si>
    <t>Accrual</t>
  </si>
  <si>
    <t>Refund</t>
  </si>
  <si>
    <t>COMMISSION INCOME RECONCILIATION WITH STR</t>
  </si>
  <si>
    <t>MONTH</t>
  </si>
  <si>
    <t>COMMISSION AS PER LEDGER</t>
  </si>
  <si>
    <t>TOTAL COMMISSION AS PER STR</t>
  </si>
  <si>
    <t>NET COMMISSION GS</t>
  </si>
  <si>
    <t>DIFFERENCE</t>
  </si>
  <si>
    <t>C=A-B</t>
  </si>
  <si>
    <t>E=A-D</t>
  </si>
  <si>
    <t>D=C*.16</t>
  </si>
  <si>
    <t>COMMISSION</t>
  </si>
  <si>
    <t>Accumulated profit</t>
  </si>
  <si>
    <t>OPERATING PROFIT/ (LOSS)</t>
  </si>
  <si>
    <t>1,000,000 (2014:1,000,000) ordinary shares of Rs.10/- each</t>
  </si>
  <si>
    <t>TAX YEAR 2015</t>
  </si>
  <si>
    <t>DIVIDEND</t>
  </si>
  <si>
    <t>NORMAL</t>
  </si>
  <si>
    <t>-----------R  u  p  e  e  s-----------</t>
  </si>
  <si>
    <t>%Age</t>
  </si>
  <si>
    <t>Expenses</t>
  </si>
  <si>
    <t>ADD :</t>
  </si>
  <si>
    <t>Accounting depreciation</t>
  </si>
  <si>
    <t>Tax profit on sale of vehicle</t>
  </si>
  <si>
    <t>LESS :</t>
  </si>
  <si>
    <t>Tax depreciation</t>
  </si>
  <si>
    <t>Unrealized gain on investment</t>
  </si>
  <si>
    <t>Taxable income/(loss)</t>
  </si>
  <si>
    <t>B/F loss</t>
  </si>
  <si>
    <t xml:space="preserve"> Tax @ 33%</t>
  </si>
  <si>
    <r>
      <rPr>
        <b/>
        <sz val="11"/>
        <rFont val="Book Antiqua"/>
        <family val="1"/>
      </rPr>
      <t>A .</t>
    </r>
    <r>
      <rPr>
        <sz val="11"/>
        <rFont val="Book Antiqua"/>
        <family val="1"/>
      </rPr>
      <t xml:space="preserve"> Alternative corporate tax</t>
    </r>
  </si>
  <si>
    <r>
      <rPr>
        <b/>
        <sz val="11"/>
        <rFont val="Book Antiqua"/>
        <family val="1"/>
      </rPr>
      <t>B .</t>
    </r>
    <r>
      <rPr>
        <sz val="11"/>
        <rFont val="Book Antiqua"/>
        <family val="1"/>
      </rPr>
      <t xml:space="preserve"> Corporate Tax @ 33%</t>
    </r>
  </si>
  <si>
    <r>
      <rPr>
        <b/>
        <sz val="11"/>
        <rFont val="Book Antiqua"/>
        <family val="1"/>
      </rPr>
      <t xml:space="preserve">C . </t>
    </r>
    <r>
      <rPr>
        <sz val="11"/>
        <rFont val="Book Antiqua"/>
        <family val="1"/>
      </rPr>
      <t>Mininum tax 1%</t>
    </r>
  </si>
  <si>
    <t>Higher of A, B, C</t>
  </si>
  <si>
    <r>
      <rPr>
        <b/>
        <sz val="15"/>
        <rFont val="Book Antiqua"/>
        <family val="1"/>
      </rPr>
      <t>**</t>
    </r>
    <r>
      <rPr>
        <sz val="11"/>
        <rFont val="Book Antiqua"/>
        <family val="1"/>
      </rPr>
      <t>Tax on capital gain</t>
    </r>
  </si>
  <si>
    <r>
      <rPr>
        <b/>
        <sz val="15"/>
        <rFont val="Book Antiqua"/>
        <family val="1"/>
      </rPr>
      <t>*</t>
    </r>
    <r>
      <rPr>
        <sz val="11"/>
        <rFont val="Book Antiqua"/>
        <family val="1"/>
      </rPr>
      <t>Tax on dividend</t>
    </r>
  </si>
  <si>
    <t>*</t>
  </si>
  <si>
    <t>**</t>
  </si>
  <si>
    <t>Tax Payable</t>
  </si>
  <si>
    <t>A-ALTERNATIVE CORPORATE TAX</t>
  </si>
  <si>
    <t>Less :</t>
  </si>
  <si>
    <t>Related expenses</t>
  </si>
  <si>
    <t>Taxable income as per Alternative Corporate Tax</t>
  </si>
  <si>
    <t>Tax liability @ 17%</t>
  </si>
  <si>
    <t>TAX ON DIVIDEND INCOME</t>
  </si>
  <si>
    <t>Tax Rate</t>
  </si>
  <si>
    <t>Gross Dividend</t>
  </si>
  <si>
    <t>Tax Deducted</t>
  </si>
  <si>
    <t>Normal Company Dividend</t>
  </si>
  <si>
    <t>TAX ON CAPITAL GAIN</t>
  </si>
  <si>
    <t>Capital Gain</t>
  </si>
  <si>
    <t>Tax</t>
  </si>
  <si>
    <t>Net taxable profit</t>
  </si>
  <si>
    <t>Mininum tax @ 1% of revenue</t>
  </si>
  <si>
    <t>Less than 12 months</t>
  </si>
  <si>
    <t>Deffered tax @ 32%</t>
  </si>
  <si>
    <t>Add: (Reversal)/charge for the year</t>
  </si>
  <si>
    <t>TAXES PAID</t>
  </si>
  <si>
    <t>Opening</t>
  </si>
  <si>
    <t>Closing</t>
  </si>
  <si>
    <t>Cash</t>
  </si>
  <si>
    <t>Tax Expense</t>
  </si>
  <si>
    <t>Tax expense</t>
  </si>
  <si>
    <t>Advance tax</t>
  </si>
  <si>
    <t xml:space="preserve">BALANCE SHEET </t>
  </si>
  <si>
    <t>ASSETS</t>
  </si>
  <si>
    <t>NON CURRENT ASSETS</t>
  </si>
  <si>
    <t>Property and equipment</t>
  </si>
  <si>
    <t>Short term investments</t>
  </si>
  <si>
    <t>EQUITY AND LIABILITIES</t>
  </si>
  <si>
    <t>SHARE CAPITAL AND RESERVES</t>
  </si>
  <si>
    <t>Share capital</t>
  </si>
  <si>
    <t>NON-CURRENT LIABILITIES</t>
  </si>
  <si>
    <t xml:space="preserve">Deferred liabilities </t>
  </si>
  <si>
    <t>3</t>
  </si>
  <si>
    <t>Weighted average number of shares outstanding during the year</t>
  </si>
  <si>
    <t>Salary-Arif Latif</t>
  </si>
  <si>
    <t>Salary-Adeel Arif</t>
  </si>
  <si>
    <t>Salary-Atif Arif</t>
  </si>
  <si>
    <t>Salary-Driver 1</t>
  </si>
  <si>
    <t>Salary-Driver 2</t>
  </si>
  <si>
    <t>Salary-Guard # 1</t>
  </si>
  <si>
    <t>Salary-Guard # 2</t>
  </si>
  <si>
    <t>Vehicle running &amp; maintenance</t>
  </si>
  <si>
    <t>Tax deducted on dividend</t>
  </si>
  <si>
    <t xml:space="preserve">After initial measurement, available-for-sale financial assets are subsequently measured at fair value with unrealized gains or losses recognized in other comprehensive income in the available-for-sale reserve until (i) the investment is derecognized, at which time the cumulative gain or loss is recognized in the profit and loss account, or (ii) determined to be impaired, at which time the cumulative loss is recognized in the profit and loss account and removed from the available-for-sale reserve. </t>
  </si>
  <si>
    <t>The cost/book value of the LSE membership card amounts to Rs. 2.5 million as at June 30, 2013. In the absence of an active market of the shares of LSE and TREC, the allocation of the carrying value of the membership card between the shares (financial asset) and TREC (intangible asset) had been made by the company proportionately on the basis of latest break-up value of ordinary shares of LSE  and the TREC value assigned by the LSE for the minimum capital requirement purposes applicable to the Stock Exchange brokers currently.</t>
  </si>
  <si>
    <t>The company has pledged/hypothecated 337,490 shares of Lahore Stock Exchange Limited and TRE certificate as referred to note no. 4.1 to the financial statements.</t>
  </si>
  <si>
    <t>Pursuant to the promulgation of the Stock Exchanges (Corporation, Demutualization and Integration) Act, 2012 (The Act), the ownership in a Stock Exchange had been segregated from the right to trade on the Exchange. Accordingly, the company had received equity shares of LSE and a Trading Right Entitlement Certificate (TREC) in lieu of its membership card of LSE. The company's entitlement in respect of LSE's share is determined on the basis of valuation of assets and liabilities of LSE as approved by the SECP and the company had been allotted 843,975 shares of the face value of Rs. 10 each out of which 506,385 shares  in the name of chief executive of the company are kept in blocked account and the divestment of the same will be made in accordance with the requirements of the Act within two years from the date of Demutualization.</t>
  </si>
  <si>
    <t>It represents Trading Right Entitlement Certificate (TREC) issued by Lahore Stock Exchange Limited (LSE) in accordance with the requirements of the Stock Exchanges (Corporatization, Demutualization and Integration) Act, 2012 (the Act) .The Company has also received shares of LSE after completion of demutualization process. For details, refer note 5.1 to the financial statements.</t>
  </si>
  <si>
    <t>These financial statements were authorized for issue on _________________ by the Board of Directors of the Company.</t>
  </si>
  <si>
    <t xml:space="preserve"> </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</si>
</sst>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3" formatCode="_(* #,##0.00_);_(* \(#,##0.00\);_(* &quot;-&quot;??_);_(@_)"/>
    <numFmt numFmtId="164" formatCode="_(* #,##0.0_);_(* \(#,##0.0\);_(* &quot;-&quot;??_);_(@_)"/>
    <numFmt numFmtId="165" formatCode="_(* #,##0_);_(* \(#,##0\);_(* &quot;-&quot;??_);_(@_)"/>
    <numFmt numFmtId="166" formatCode="#,##0.0_);\(#,##0.0\)"/>
    <numFmt numFmtId="167" formatCode="0_)"/>
    <numFmt numFmtId="168" formatCode="[$-409]mmm\-yy;@"/>
    <numFmt numFmtId="169" formatCode="_([$€-2]* #,##0.00_);_([$€-2]* \(#,##0.00\);_([$€-2]* &quot;-&quot;??_)"/>
    <numFmt numFmtId="170" formatCode="0.0000000000"/>
    <numFmt numFmtId="171" formatCode="#,##0;\-#,##0"/>
  </numFmts>
  <fonts count="81">
    <font>
      <sz val="12"/>
      <name val="Arial MT"/>
    </font>
    <font>
      <sz val="11"/>
      <color indexed="8"/>
      <name val="Calibri"/>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name val="Arial"/>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0"/>
      <color indexed="8"/>
      <name val="MS Sans Serif"/>
      <family val="2"/>
      <charset val="178"/>
    </font>
    <font>
      <sz val="10"/>
      <color indexed="8"/>
      <name val="MS Sans Serif"/>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2"/>
      <name val="Book Antiqua"/>
      <family val="1"/>
    </font>
    <font>
      <b/>
      <sz val="10"/>
      <color indexed="8"/>
      <name val="Book Antiqua"/>
      <family val="1"/>
    </font>
    <font>
      <b/>
      <sz val="12"/>
      <name val="Book Antiqua"/>
      <family val="1"/>
    </font>
    <font>
      <sz val="12"/>
      <color indexed="8"/>
      <name val="Book Antiqua"/>
      <family val="1"/>
    </font>
    <font>
      <b/>
      <sz val="12"/>
      <color indexed="8"/>
      <name val="Book Antiqua"/>
      <family val="1"/>
    </font>
    <font>
      <b/>
      <sz val="12"/>
      <name val="Arial MT"/>
    </font>
    <font>
      <sz val="10"/>
      <name val="Book Antiqua"/>
      <family val="1"/>
    </font>
    <font>
      <b/>
      <sz val="10"/>
      <name val="Book Antiqua"/>
      <family val="1"/>
    </font>
    <font>
      <sz val="10"/>
      <color indexed="8"/>
      <name val="Book Antiqua"/>
      <family val="1"/>
    </font>
    <font>
      <sz val="11"/>
      <color indexed="8"/>
      <name val="Book Antiqua"/>
      <family val="1"/>
    </font>
    <font>
      <sz val="12"/>
      <name val="Arial"/>
      <family val="2"/>
    </font>
    <font>
      <sz val="12"/>
      <name val="Arial MT"/>
    </font>
    <font>
      <b/>
      <sz val="8"/>
      <name val="Book Antiqua"/>
      <family val="1"/>
    </font>
    <font>
      <sz val="11"/>
      <name val="Book Antiqua"/>
      <family val="1"/>
    </font>
    <font>
      <b/>
      <sz val="11"/>
      <name val="Times New Roman"/>
      <family val="1"/>
    </font>
    <font>
      <sz val="11"/>
      <name val="Times New Roman"/>
      <family val="1"/>
    </font>
    <font>
      <sz val="12"/>
      <name val="Times New Roman"/>
      <family val="1"/>
    </font>
    <font>
      <b/>
      <sz val="8"/>
      <name val="Times New Roman"/>
      <family val="1"/>
    </font>
    <font>
      <b/>
      <sz val="12"/>
      <name val="Times New Roman"/>
      <family val="1"/>
    </font>
    <font>
      <sz val="8"/>
      <name val="Times New Roman"/>
      <family val="1"/>
    </font>
    <font>
      <sz val="12"/>
      <name val="Times New Roman"/>
      <family val="1"/>
    </font>
    <font>
      <b/>
      <sz val="11"/>
      <name val="Book Antiqua"/>
      <family val="1"/>
    </font>
    <font>
      <sz val="10"/>
      <name val="Arial"/>
      <family val="2"/>
    </font>
    <font>
      <sz val="10"/>
      <name val="Courier"/>
      <family val="3"/>
    </font>
    <font>
      <u/>
      <sz val="11"/>
      <name val="Times New Roman"/>
      <family val="1"/>
    </font>
    <font>
      <sz val="11"/>
      <name val="Arial"/>
      <family val="2"/>
    </font>
    <font>
      <b/>
      <u/>
      <sz val="12"/>
      <name val="Book Antiqua"/>
      <family val="1"/>
    </font>
    <font>
      <sz val="10"/>
      <name val="Arial MT"/>
    </font>
    <font>
      <b/>
      <sz val="10"/>
      <name val="Arial MT"/>
    </font>
    <font>
      <sz val="8"/>
      <color indexed="81"/>
      <name val="Tahoma"/>
      <family val="2"/>
    </font>
    <font>
      <b/>
      <sz val="8"/>
      <color indexed="81"/>
      <name val="Tahoma"/>
      <family val="2"/>
    </font>
    <font>
      <b/>
      <sz val="15"/>
      <name val="Book Antiqua"/>
      <family val="1"/>
    </font>
    <font>
      <sz val="12"/>
      <name val="Arial"/>
      <family val="2"/>
    </font>
    <font>
      <b/>
      <u/>
      <sz val="11"/>
      <name val="Book Antiqua"/>
      <family val="1"/>
    </font>
    <font>
      <sz val="8"/>
      <name val="Arial"/>
      <family val="2"/>
    </font>
    <font>
      <sz val="10"/>
      <name val="Times New Roman"/>
      <family val="1"/>
    </font>
    <font>
      <b/>
      <sz val="12"/>
      <name val="Arial"/>
      <family val="2"/>
    </font>
    <font>
      <sz val="10"/>
      <name val="Century Gothic"/>
      <family val="2"/>
    </font>
    <font>
      <sz val="10"/>
      <color indexed="8"/>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0"/>
      <color rgb="FFFF0000"/>
      <name val="Arial MT"/>
    </font>
    <font>
      <sz val="10"/>
      <color theme="1"/>
      <name val="Book Antiqua"/>
      <family val="1"/>
    </font>
  </fonts>
  <fills count="6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14999847407452621"/>
        <bgColor indexed="64"/>
      </patternFill>
    </fill>
    <fill>
      <patternFill patternType="solid">
        <fgColor rgb="FFFFFF00"/>
        <bgColor indexed="64"/>
      </patternFill>
    </fill>
    <fill>
      <patternFill patternType="solid">
        <fgColor rgb="FFFF0000"/>
        <bgColor indexed="64"/>
      </patternFill>
    </fill>
    <fill>
      <patternFill patternType="solid">
        <fgColor rgb="FFFFC000"/>
        <bgColor indexed="64"/>
      </patternFill>
    </fill>
  </fills>
  <borders count="7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style="thin">
        <color indexed="64"/>
      </top>
      <bottom style="thin">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8"/>
      </top>
      <bottom/>
      <diagonal/>
    </border>
    <border>
      <left/>
      <right/>
      <top/>
      <bottom style="double">
        <color indexed="8"/>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top/>
      <bottom/>
      <diagonal/>
    </border>
    <border>
      <left style="thin">
        <color indexed="8"/>
      </left>
      <right/>
      <top style="thin">
        <color indexed="8"/>
      </top>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right/>
      <top style="double">
        <color indexed="8"/>
      </top>
      <bottom/>
      <diagonal/>
    </border>
    <border>
      <left/>
      <right/>
      <top/>
      <bottom style="double">
        <color indexed="64"/>
      </bottom>
      <diagonal/>
    </border>
    <border>
      <left/>
      <right/>
      <top/>
      <bottom style="thin">
        <color indexed="8"/>
      </bottom>
      <diagonal/>
    </border>
    <border>
      <left/>
      <right style="thin">
        <color indexed="8"/>
      </right>
      <top style="thin">
        <color indexed="8"/>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diagonal/>
    </border>
    <border>
      <left/>
      <right/>
      <top style="double">
        <color indexed="64"/>
      </top>
      <bottom/>
      <diagonal/>
    </border>
    <border>
      <left style="thin">
        <color indexed="64"/>
      </left>
      <right style="thin">
        <color indexed="64"/>
      </right>
      <top style="thin">
        <color indexed="64"/>
      </top>
      <bottom style="double">
        <color indexed="64"/>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thin">
        <color indexed="64"/>
      </bottom>
      <diagonal/>
    </border>
    <border>
      <left/>
      <right style="double">
        <color indexed="64"/>
      </right>
      <top/>
      <bottom style="thin">
        <color indexed="64"/>
      </bottom>
      <diagonal/>
    </border>
    <border>
      <left style="double">
        <color indexed="64"/>
      </left>
      <right/>
      <top/>
      <bottom style="double">
        <color indexed="64"/>
      </bottom>
      <diagonal/>
    </border>
    <border>
      <left/>
      <right style="double">
        <color indexed="64"/>
      </right>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bottom style="double">
        <color indexed="64"/>
      </bottom>
      <diagonal/>
    </border>
    <border>
      <left/>
      <right/>
      <top/>
      <bottom style="thick">
        <color indexed="64"/>
      </bottom>
      <diagonal/>
    </border>
    <border>
      <left/>
      <right/>
      <top style="thin">
        <color indexed="64"/>
      </top>
      <bottom style="medium">
        <color indexed="64"/>
      </bottom>
      <diagonal/>
    </border>
    <border>
      <left/>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hair">
        <color indexed="64"/>
      </left>
      <right style="hair">
        <color indexed="64"/>
      </right>
      <top style="hair">
        <color indexed="64"/>
      </top>
      <bottom style="hair">
        <color indexed="64"/>
      </bottom>
      <diagonal/>
    </border>
    <border>
      <left/>
      <right style="thin">
        <color indexed="64"/>
      </right>
      <top style="thin">
        <color indexed="64"/>
      </top>
      <bottom/>
      <diagonal/>
    </border>
    <border>
      <left/>
      <right style="thin">
        <color indexed="64"/>
      </right>
      <top/>
      <bottom/>
      <diagonal/>
    </border>
    <border>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double">
        <color indexed="64"/>
      </top>
      <bottom style="thin">
        <color indexed="64"/>
      </bottom>
      <diagonal/>
    </border>
    <border>
      <left style="double">
        <color indexed="64"/>
      </left>
      <right style="thin">
        <color indexed="64"/>
      </right>
      <top style="thin">
        <color indexed="64"/>
      </top>
      <bottom style="double">
        <color indexed="64"/>
      </bottom>
      <diagonal/>
    </border>
    <border>
      <left/>
      <right style="thin">
        <color indexed="8"/>
      </right>
      <top/>
      <bottom/>
      <diagonal/>
    </border>
    <border>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indexed="8"/>
      </left>
      <right style="thin">
        <color indexed="8"/>
      </right>
      <top style="thin">
        <color theme="1"/>
      </top>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indexed="8"/>
      </left>
      <right/>
      <top style="thin">
        <color theme="1"/>
      </top>
      <bottom/>
      <diagonal/>
    </border>
    <border>
      <left style="thin">
        <color theme="1"/>
      </left>
      <right style="thin">
        <color theme="1"/>
      </right>
      <top style="thin">
        <color theme="1"/>
      </top>
      <bottom/>
      <diagonal/>
    </border>
    <border>
      <left style="thin">
        <color theme="1"/>
      </left>
      <right style="thin">
        <color theme="1"/>
      </right>
      <top/>
      <bottom style="thin">
        <color theme="1"/>
      </bottom>
      <diagonal/>
    </border>
    <border>
      <left/>
      <right/>
      <top/>
      <bottom style="double">
        <color theme="1"/>
      </bottom>
      <diagonal/>
    </border>
    <border>
      <left/>
      <right/>
      <top style="double">
        <color theme="1"/>
      </top>
      <bottom/>
      <diagonal/>
    </border>
    <border>
      <left/>
      <right/>
      <top/>
      <bottom style="thin">
        <color theme="1"/>
      </bottom>
      <diagonal/>
    </border>
    <border>
      <left/>
      <right/>
      <top style="thin">
        <color theme="1"/>
      </top>
      <bottom/>
      <diagonal/>
    </border>
    <border>
      <left style="thin">
        <color theme="1"/>
      </left>
      <right style="thin">
        <color theme="1"/>
      </right>
      <top/>
      <bottom/>
      <diagonal/>
    </border>
    <border>
      <left style="thin">
        <color theme="1"/>
      </left>
      <right/>
      <top style="thin">
        <color theme="1"/>
      </top>
      <bottom style="thin">
        <color theme="1"/>
      </bottom>
      <diagonal/>
    </border>
  </borders>
  <cellStyleXfs count="140">
    <xf numFmtId="37" fontId="0" fillId="0" borderId="0"/>
    <xf numFmtId="0" fontId="3" fillId="2" borderId="0" applyNumberFormat="0" applyBorder="0" applyAlignment="0" applyProtection="0"/>
    <xf numFmtId="0" fontId="62" fillId="26" borderId="0" applyNumberFormat="0" applyBorder="0" applyAlignment="0" applyProtection="0"/>
    <xf numFmtId="0" fontId="3" fillId="3" borderId="0" applyNumberFormat="0" applyBorder="0" applyAlignment="0" applyProtection="0"/>
    <xf numFmtId="0" fontId="62" fillId="27" borderId="0" applyNumberFormat="0" applyBorder="0" applyAlignment="0" applyProtection="0"/>
    <xf numFmtId="0" fontId="3" fillId="4" borderId="0" applyNumberFormat="0" applyBorder="0" applyAlignment="0" applyProtection="0"/>
    <xf numFmtId="0" fontId="62" fillId="28" borderId="0" applyNumberFormat="0" applyBorder="0" applyAlignment="0" applyProtection="0"/>
    <xf numFmtId="0" fontId="3" fillId="5" borderId="0" applyNumberFormat="0" applyBorder="0" applyAlignment="0" applyProtection="0"/>
    <xf numFmtId="0" fontId="62" fillId="29" borderId="0" applyNumberFormat="0" applyBorder="0" applyAlignment="0" applyProtection="0"/>
    <xf numFmtId="0" fontId="3" fillId="6" borderId="0" applyNumberFormat="0" applyBorder="0" applyAlignment="0" applyProtection="0"/>
    <xf numFmtId="0" fontId="62" fillId="30" borderId="0" applyNumberFormat="0" applyBorder="0" applyAlignment="0" applyProtection="0"/>
    <xf numFmtId="0" fontId="3" fillId="7" borderId="0" applyNumberFormat="0" applyBorder="0" applyAlignment="0" applyProtection="0"/>
    <xf numFmtId="0" fontId="62" fillId="31" borderId="0" applyNumberFormat="0" applyBorder="0" applyAlignment="0" applyProtection="0"/>
    <xf numFmtId="0" fontId="3" fillId="8" borderId="0" applyNumberFormat="0" applyBorder="0" applyAlignment="0" applyProtection="0"/>
    <xf numFmtId="0" fontId="62" fillId="32" borderId="0" applyNumberFormat="0" applyBorder="0" applyAlignment="0" applyProtection="0"/>
    <xf numFmtId="0" fontId="3" fillId="9" borderId="0" applyNumberFormat="0" applyBorder="0" applyAlignment="0" applyProtection="0"/>
    <xf numFmtId="0" fontId="62" fillId="33" borderId="0" applyNumberFormat="0" applyBorder="0" applyAlignment="0" applyProtection="0"/>
    <xf numFmtId="0" fontId="3" fillId="10" borderId="0" applyNumberFormat="0" applyBorder="0" applyAlignment="0" applyProtection="0"/>
    <xf numFmtId="0" fontId="62" fillId="34" borderId="0" applyNumberFormat="0" applyBorder="0" applyAlignment="0" applyProtection="0"/>
    <xf numFmtId="0" fontId="3" fillId="5" borderId="0" applyNumberFormat="0" applyBorder="0" applyAlignment="0" applyProtection="0"/>
    <xf numFmtId="0" fontId="62" fillId="35" borderId="0" applyNumberFormat="0" applyBorder="0" applyAlignment="0" applyProtection="0"/>
    <xf numFmtId="0" fontId="3" fillId="8" borderId="0" applyNumberFormat="0" applyBorder="0" applyAlignment="0" applyProtection="0"/>
    <xf numFmtId="0" fontId="62" fillId="36" borderId="0" applyNumberFormat="0" applyBorder="0" applyAlignment="0" applyProtection="0"/>
    <xf numFmtId="0" fontId="3" fillId="11" borderId="0" applyNumberFormat="0" applyBorder="0" applyAlignment="0" applyProtection="0"/>
    <xf numFmtId="0" fontId="62" fillId="37" borderId="0" applyNumberFormat="0" applyBorder="0" applyAlignment="0" applyProtection="0"/>
    <xf numFmtId="0" fontId="4" fillId="12" borderId="0" applyNumberFormat="0" applyBorder="0" applyAlignment="0" applyProtection="0"/>
    <xf numFmtId="0" fontId="63" fillId="38" borderId="0" applyNumberFormat="0" applyBorder="0" applyAlignment="0" applyProtection="0"/>
    <xf numFmtId="0" fontId="4" fillId="9" borderId="0" applyNumberFormat="0" applyBorder="0" applyAlignment="0" applyProtection="0"/>
    <xf numFmtId="0" fontId="63" fillId="39" borderId="0" applyNumberFormat="0" applyBorder="0" applyAlignment="0" applyProtection="0"/>
    <xf numFmtId="0" fontId="4" fillId="10" borderId="0" applyNumberFormat="0" applyBorder="0" applyAlignment="0" applyProtection="0"/>
    <xf numFmtId="0" fontId="63" fillId="40" borderId="0" applyNumberFormat="0" applyBorder="0" applyAlignment="0" applyProtection="0"/>
    <xf numFmtId="0" fontId="4" fillId="13" borderId="0" applyNumberFormat="0" applyBorder="0" applyAlignment="0" applyProtection="0"/>
    <xf numFmtId="0" fontId="63" fillId="41" borderId="0" applyNumberFormat="0" applyBorder="0" applyAlignment="0" applyProtection="0"/>
    <xf numFmtId="0" fontId="4" fillId="14" borderId="0" applyNumberFormat="0" applyBorder="0" applyAlignment="0" applyProtection="0"/>
    <xf numFmtId="0" fontId="63" fillId="42" borderId="0" applyNumberFormat="0" applyBorder="0" applyAlignment="0" applyProtection="0"/>
    <xf numFmtId="0" fontId="4" fillId="15" borderId="0" applyNumberFormat="0" applyBorder="0" applyAlignment="0" applyProtection="0"/>
    <xf numFmtId="0" fontId="63" fillId="43" borderId="0" applyNumberFormat="0" applyBorder="0" applyAlignment="0" applyProtection="0"/>
    <xf numFmtId="0" fontId="4" fillId="16" borderId="0" applyNumberFormat="0" applyBorder="0" applyAlignment="0" applyProtection="0"/>
    <xf numFmtId="0" fontId="63" fillId="44" borderId="0" applyNumberFormat="0" applyBorder="0" applyAlignment="0" applyProtection="0"/>
    <xf numFmtId="0" fontId="4" fillId="17" borderId="0" applyNumberFormat="0" applyBorder="0" applyAlignment="0" applyProtection="0"/>
    <xf numFmtId="0" fontId="63" fillId="45" borderId="0" applyNumberFormat="0" applyBorder="0" applyAlignment="0" applyProtection="0"/>
    <xf numFmtId="0" fontId="4" fillId="18" borderId="0" applyNumberFormat="0" applyBorder="0" applyAlignment="0" applyProtection="0"/>
    <xf numFmtId="0" fontId="63" fillId="46" borderId="0" applyNumberFormat="0" applyBorder="0" applyAlignment="0" applyProtection="0"/>
    <xf numFmtId="0" fontId="4" fillId="13" borderId="0" applyNumberFormat="0" applyBorder="0" applyAlignment="0" applyProtection="0"/>
    <xf numFmtId="0" fontId="63" fillId="47" borderId="0" applyNumberFormat="0" applyBorder="0" applyAlignment="0" applyProtection="0"/>
    <xf numFmtId="0" fontId="4" fillId="14" borderId="0" applyNumberFormat="0" applyBorder="0" applyAlignment="0" applyProtection="0"/>
    <xf numFmtId="0" fontId="63" fillId="48" borderId="0" applyNumberFormat="0" applyBorder="0" applyAlignment="0" applyProtection="0"/>
    <xf numFmtId="0" fontId="4" fillId="19" borderId="0" applyNumberFormat="0" applyBorder="0" applyAlignment="0" applyProtection="0"/>
    <xf numFmtId="0" fontId="63" fillId="49" borderId="0" applyNumberFormat="0" applyBorder="0" applyAlignment="0" applyProtection="0"/>
    <xf numFmtId="0" fontId="57" fillId="0" borderId="0" applyNumberFormat="0" applyAlignment="0"/>
    <xf numFmtId="0" fontId="5" fillId="3" borderId="0" applyNumberFormat="0" applyBorder="0" applyAlignment="0" applyProtection="0"/>
    <xf numFmtId="0" fontId="64" fillId="50" borderId="0" applyNumberFormat="0" applyBorder="0" applyAlignment="0" applyProtection="0"/>
    <xf numFmtId="0" fontId="6" fillId="20" borderId="1" applyNumberFormat="0" applyAlignment="0" applyProtection="0"/>
    <xf numFmtId="0" fontId="65" fillId="51" borderId="56" applyNumberFormat="0" applyAlignment="0" applyProtection="0"/>
    <xf numFmtId="0" fontId="7" fillId="21" borderId="2" applyNumberFormat="0" applyAlignment="0" applyProtection="0"/>
    <xf numFmtId="0" fontId="66" fillId="52" borderId="57"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5" fillId="0" borderId="0" applyFont="0" applyFill="0" applyBorder="0" applyAlignment="0" applyProtection="0"/>
    <xf numFmtId="43" fontId="5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2" fillId="0" borderId="0" applyFont="0" applyFill="0" applyBorder="0" applyAlignment="0" applyProtection="0"/>
    <xf numFmtId="43" fontId="2" fillId="0" borderId="0" applyFont="0" applyFill="0" applyBorder="0" applyAlignment="0" applyProtection="0"/>
    <xf numFmtId="43" fontId="62" fillId="0" borderId="0" applyFont="0" applyFill="0" applyBorder="0" applyAlignment="0" applyProtection="0"/>
    <xf numFmtId="169" fontId="2" fillId="0" borderId="0" applyFont="0" applyFill="0" applyBorder="0" applyAlignment="0" applyProtection="0"/>
    <xf numFmtId="0" fontId="9" fillId="0" borderId="0" applyNumberFormat="0" applyFill="0" applyBorder="0" applyAlignment="0" applyProtection="0"/>
    <xf numFmtId="0" fontId="67" fillId="0" borderId="0" applyNumberFormat="0" applyFill="0" applyBorder="0" applyAlignment="0" applyProtection="0"/>
    <xf numFmtId="0" fontId="10" fillId="4" borderId="0" applyNumberFormat="0" applyBorder="0" applyAlignment="0" applyProtection="0"/>
    <xf numFmtId="0" fontId="68" fillId="53" borderId="0" applyNumberFormat="0" applyBorder="0" applyAlignment="0" applyProtection="0"/>
    <xf numFmtId="38" fontId="57" fillId="22" borderId="0" applyNumberFormat="0" applyBorder="0" applyAlignment="0" applyProtection="0"/>
    <xf numFmtId="0" fontId="59" fillId="0" borderId="3" applyNumberFormat="0" applyAlignment="0" applyProtection="0">
      <alignment horizontal="left" vertical="center"/>
    </xf>
    <xf numFmtId="0" fontId="59" fillId="0" borderId="4">
      <alignment horizontal="left" vertical="center"/>
    </xf>
    <xf numFmtId="0" fontId="11" fillId="0" borderId="5" applyNumberFormat="0" applyFill="0" applyAlignment="0" applyProtection="0"/>
    <xf numFmtId="0" fontId="69" fillId="0" borderId="58" applyNumberFormat="0" applyFill="0" applyAlignment="0" applyProtection="0"/>
    <xf numFmtId="0" fontId="12" fillId="0" borderId="6" applyNumberFormat="0" applyFill="0" applyAlignment="0" applyProtection="0"/>
    <xf numFmtId="0" fontId="70" fillId="0" borderId="59" applyNumberFormat="0" applyFill="0" applyAlignment="0" applyProtection="0"/>
    <xf numFmtId="0" fontId="13" fillId="0" borderId="7" applyNumberFormat="0" applyFill="0" applyAlignment="0" applyProtection="0"/>
    <xf numFmtId="0" fontId="71" fillId="0" borderId="60" applyNumberFormat="0" applyFill="0" applyAlignment="0" applyProtection="0"/>
    <xf numFmtId="0" fontId="13" fillId="0" borderId="0" applyNumberFormat="0" applyFill="0" applyBorder="0" applyAlignment="0" applyProtection="0"/>
    <xf numFmtId="0" fontId="71" fillId="0" borderId="0" applyNumberFormat="0" applyFill="0" applyBorder="0" applyAlignment="0" applyProtection="0"/>
    <xf numFmtId="0" fontId="14" fillId="7" borderId="1" applyNumberFormat="0" applyAlignment="0" applyProtection="0"/>
    <xf numFmtId="10" fontId="57" fillId="23" borderId="8" applyNumberFormat="0" applyBorder="0" applyAlignment="0" applyProtection="0"/>
    <xf numFmtId="0" fontId="72" fillId="54" borderId="56" applyNumberFormat="0" applyAlignment="0" applyProtection="0"/>
    <xf numFmtId="0" fontId="15" fillId="0" borderId="9" applyNumberFormat="0" applyFill="0" applyAlignment="0" applyProtection="0"/>
    <xf numFmtId="0" fontId="73" fillId="0" borderId="61" applyNumberFormat="0" applyFill="0" applyAlignment="0" applyProtection="0"/>
    <xf numFmtId="0" fontId="16" fillId="24" borderId="0" applyNumberFormat="0" applyBorder="0" applyAlignment="0" applyProtection="0"/>
    <xf numFmtId="0" fontId="74" fillId="55" borderId="0" applyNumberFormat="0" applyBorder="0" applyAlignment="0" applyProtection="0"/>
    <xf numFmtId="170" fontId="2" fillId="0" borderId="0"/>
    <xf numFmtId="0" fontId="62" fillId="0" borderId="0"/>
    <xf numFmtId="0" fontId="62" fillId="0" borderId="0"/>
    <xf numFmtId="0" fontId="62" fillId="0" borderId="0"/>
    <xf numFmtId="37" fontId="46"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37" fontId="33" fillId="0" borderId="0"/>
    <xf numFmtId="0" fontId="60" fillId="0" borderId="0">
      <alignment vertical="top"/>
    </xf>
    <xf numFmtId="0" fontId="2" fillId="0" borderId="0"/>
    <xf numFmtId="0" fontId="62" fillId="0" borderId="0"/>
    <xf numFmtId="0" fontId="2" fillId="0" borderId="0"/>
    <xf numFmtId="37" fontId="39" fillId="0" borderId="0"/>
    <xf numFmtId="0" fontId="2" fillId="0" borderId="0"/>
    <xf numFmtId="37" fontId="46" fillId="0" borderId="0"/>
    <xf numFmtId="37" fontId="46" fillId="0" borderId="0"/>
    <xf numFmtId="0" fontId="2" fillId="0" borderId="0"/>
    <xf numFmtId="37" fontId="55" fillId="0" borderId="0"/>
    <xf numFmtId="0" fontId="62" fillId="0" borderId="0"/>
    <xf numFmtId="0" fontId="62" fillId="0" borderId="0"/>
    <xf numFmtId="0" fontId="2" fillId="0" borderId="0"/>
    <xf numFmtId="0" fontId="62" fillId="0" borderId="0"/>
    <xf numFmtId="37" fontId="33" fillId="0" borderId="0"/>
    <xf numFmtId="167" fontId="34" fillId="0" borderId="0"/>
    <xf numFmtId="0" fontId="17" fillId="0" borderId="0"/>
    <xf numFmtId="0" fontId="18" fillId="25" borderId="10" applyNumberFormat="0" applyFont="0" applyAlignment="0" applyProtection="0"/>
    <xf numFmtId="0" fontId="62" fillId="56" borderId="62" applyNumberFormat="0" applyFont="0" applyAlignment="0" applyProtection="0"/>
    <xf numFmtId="0" fontId="19" fillId="20" borderId="11" applyNumberFormat="0" applyAlignment="0" applyProtection="0"/>
    <xf numFmtId="0" fontId="75" fillId="51" borderId="63" applyNumberFormat="0" applyAlignment="0" applyProtection="0"/>
    <xf numFmtId="10"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3" fillId="0" borderId="0" applyFont="0" applyFill="0" applyBorder="0" applyAlignment="0" applyProtection="0"/>
    <xf numFmtId="0" fontId="61" fillId="0" borderId="0">
      <alignment vertical="top"/>
    </xf>
    <xf numFmtId="0" fontId="20" fillId="0" borderId="0" applyNumberFormat="0" applyFill="0" applyBorder="0" applyAlignment="0" applyProtection="0"/>
    <xf numFmtId="0" fontId="76" fillId="0" borderId="0" applyNumberFormat="0" applyFill="0" applyBorder="0" applyAlignment="0" applyProtection="0"/>
    <xf numFmtId="0" fontId="21" fillId="0" borderId="12" applyNumberFormat="0" applyFill="0" applyAlignment="0" applyProtection="0"/>
    <xf numFmtId="0" fontId="77" fillId="0" borderId="64" applyNumberFormat="0" applyFill="0" applyAlignment="0" applyProtection="0"/>
    <xf numFmtId="0" fontId="22" fillId="0" borderId="0" applyNumberFormat="0" applyFill="0" applyBorder="0" applyAlignment="0" applyProtection="0"/>
    <xf numFmtId="0" fontId="78" fillId="0" borderId="0" applyNumberFormat="0" applyFill="0" applyBorder="0" applyAlignment="0" applyProtection="0"/>
  </cellStyleXfs>
  <cellXfs count="509">
    <xf numFmtId="37" fontId="0" fillId="0" borderId="0" xfId="0"/>
    <xf numFmtId="37" fontId="24" fillId="0" borderId="0" xfId="0" applyNumberFormat="1" applyFont="1" applyFill="1" applyAlignment="1" applyProtection="1">
      <alignment horizontal="right" vertical="top"/>
    </xf>
    <xf numFmtId="37" fontId="25" fillId="0" borderId="0" xfId="0" applyFont="1"/>
    <xf numFmtId="37" fontId="23" fillId="0" borderId="0" xfId="0" applyFont="1"/>
    <xf numFmtId="165" fontId="23" fillId="0" borderId="0" xfId="56" applyNumberFormat="1" applyFont="1"/>
    <xf numFmtId="165" fontId="23" fillId="0" borderId="0" xfId="56" applyNumberFormat="1" applyFont="1" applyBorder="1"/>
    <xf numFmtId="37" fontId="23" fillId="0" borderId="0" xfId="0" applyFont="1" applyBorder="1"/>
    <xf numFmtId="37" fontId="26" fillId="0" borderId="0" xfId="0" applyNumberFormat="1" applyFont="1" applyFill="1" applyAlignment="1" applyProtection="1">
      <alignment vertical="center"/>
    </xf>
    <xf numFmtId="37" fontId="27" fillId="0" borderId="0" xfId="0" applyNumberFormat="1" applyFont="1" applyFill="1" applyAlignment="1" applyProtection="1">
      <alignment vertical="top"/>
    </xf>
    <xf numFmtId="37" fontId="26" fillId="0" borderId="0" xfId="0" applyNumberFormat="1" applyFont="1" applyFill="1" applyAlignment="1" applyProtection="1">
      <alignment horizontal="center" vertical="top"/>
    </xf>
    <xf numFmtId="37" fontId="28" fillId="0" borderId="0" xfId="0" applyFont="1"/>
    <xf numFmtId="37" fontId="32" fillId="0" borderId="0" xfId="0" applyNumberFormat="1" applyFont="1" applyFill="1" applyAlignment="1" applyProtection="1">
      <alignment vertical="center"/>
    </xf>
    <xf numFmtId="37" fontId="25" fillId="0" borderId="0" xfId="0" applyFont="1" applyAlignment="1">
      <alignment horizontal="center"/>
    </xf>
    <xf numFmtId="165" fontId="23" fillId="0" borderId="0" xfId="56" applyNumberFormat="1" applyFont="1" applyFill="1" applyBorder="1"/>
    <xf numFmtId="37" fontId="23" fillId="0" borderId="0" xfId="105" applyFont="1" applyAlignment="1">
      <alignment vertical="top"/>
    </xf>
    <xf numFmtId="37" fontId="25" fillId="0" borderId="0" xfId="105" applyFont="1" applyAlignment="1">
      <alignment vertical="top"/>
    </xf>
    <xf numFmtId="37" fontId="23" fillId="0" borderId="0" xfId="105" applyFont="1" applyAlignment="1">
      <alignment horizontal="center" vertical="top"/>
    </xf>
    <xf numFmtId="37" fontId="25" fillId="0" borderId="0" xfId="105" applyFont="1" applyAlignment="1">
      <alignment horizontal="right" vertical="top"/>
    </xf>
    <xf numFmtId="37" fontId="25" fillId="0" borderId="0" xfId="105" applyFont="1" applyAlignment="1">
      <alignment horizontal="left"/>
    </xf>
    <xf numFmtId="37" fontId="31" fillId="0" borderId="0" xfId="105" applyNumberFormat="1" applyFont="1" applyFill="1" applyAlignment="1" applyProtection="1">
      <alignment horizontal="justify" vertical="justify"/>
    </xf>
    <xf numFmtId="165" fontId="29" fillId="0" borderId="13" xfId="56" applyNumberFormat="1" applyFont="1" applyFill="1" applyBorder="1" applyAlignment="1">
      <alignment vertical="top"/>
    </xf>
    <xf numFmtId="37" fontId="29" fillId="0" borderId="0" xfId="105" applyNumberFormat="1" applyFont="1" applyFill="1" applyAlignment="1" applyProtection="1">
      <alignment vertical="top"/>
    </xf>
    <xf numFmtId="37" fontId="29" fillId="0" borderId="0" xfId="105" applyFont="1" applyFill="1" applyAlignment="1">
      <alignment vertical="top"/>
    </xf>
    <xf numFmtId="37" fontId="29" fillId="0" borderId="13" xfId="105" applyFont="1" applyFill="1" applyBorder="1" applyAlignment="1">
      <alignment vertical="top"/>
    </xf>
    <xf numFmtId="37" fontId="29" fillId="0" borderId="14" xfId="105" applyNumberFormat="1" applyFont="1" applyFill="1" applyBorder="1" applyAlignment="1" applyProtection="1">
      <alignment vertical="top"/>
    </xf>
    <xf numFmtId="165" fontId="29" fillId="0" borderId="14" xfId="56" applyNumberFormat="1" applyFont="1" applyFill="1" applyBorder="1" applyAlignment="1" applyProtection="1">
      <alignment vertical="top"/>
    </xf>
    <xf numFmtId="37" fontId="29" fillId="0" borderId="0" xfId="105" applyFont="1" applyFill="1" applyBorder="1" applyAlignment="1">
      <alignment vertical="top"/>
    </xf>
    <xf numFmtId="165" fontId="29" fillId="0" borderId="0" xfId="56" applyNumberFormat="1" applyFont="1" applyFill="1" applyAlignment="1" applyProtection="1">
      <alignment horizontal="center" vertical="center"/>
    </xf>
    <xf numFmtId="37" fontId="23" fillId="0" borderId="0" xfId="105" applyNumberFormat="1" applyFont="1" applyProtection="1"/>
    <xf numFmtId="37" fontId="35" fillId="0" borderId="0" xfId="105" applyFont="1" applyAlignment="1" applyProtection="1">
      <alignment horizontal="right"/>
    </xf>
    <xf numFmtId="37" fontId="25" fillId="0" borderId="0" xfId="105" quotePrefix="1" applyNumberFormat="1" applyFont="1" applyAlignment="1" applyProtection="1">
      <alignment horizontal="center"/>
    </xf>
    <xf numFmtId="37" fontId="25" fillId="0" borderId="65" xfId="105" applyNumberFormat="1" applyFont="1" applyBorder="1" applyProtection="1"/>
    <xf numFmtId="37" fontId="25" fillId="0" borderId="66" xfId="105" applyFont="1" applyBorder="1" applyAlignment="1" applyProtection="1">
      <alignment horizontal="centerContinuous"/>
    </xf>
    <xf numFmtId="37" fontId="25" fillId="0" borderId="67" xfId="105" applyFont="1" applyBorder="1" applyAlignment="1" applyProtection="1">
      <alignment horizontal="centerContinuous"/>
    </xf>
    <xf numFmtId="37" fontId="25" fillId="0" borderId="65" xfId="105" applyNumberFormat="1" applyFont="1" applyBorder="1" applyAlignment="1" applyProtection="1">
      <alignment horizontal="center"/>
    </xf>
    <xf numFmtId="37" fontId="25" fillId="0" borderId="16" xfId="105" applyNumberFormat="1" applyFont="1" applyBorder="1" applyAlignment="1" applyProtection="1">
      <alignment horizontal="center"/>
    </xf>
    <xf numFmtId="37" fontId="25" fillId="0" borderId="0" xfId="105" applyNumberFormat="1" applyFont="1" applyBorder="1" applyAlignment="1" applyProtection="1">
      <alignment horizontal="centerContinuous"/>
    </xf>
    <xf numFmtId="37" fontId="25" fillId="0" borderId="17" xfId="105" applyNumberFormat="1" applyFont="1" applyBorder="1" applyAlignment="1" applyProtection="1">
      <alignment horizontal="centerContinuous"/>
    </xf>
    <xf numFmtId="37" fontId="25" fillId="0" borderId="17" xfId="105" applyNumberFormat="1" applyFont="1" applyBorder="1" applyAlignment="1" applyProtection="1">
      <alignment horizontal="center"/>
    </xf>
    <xf numFmtId="37" fontId="25" fillId="0" borderId="65" xfId="105" applyNumberFormat="1" applyFont="1" applyBorder="1" applyAlignment="1" applyProtection="1">
      <alignment horizontal="centerContinuous"/>
    </xf>
    <xf numFmtId="37" fontId="25" fillId="0" borderId="68" xfId="105" applyNumberFormat="1" applyFont="1" applyBorder="1" applyAlignment="1" applyProtection="1">
      <alignment horizontal="centerContinuous"/>
    </xf>
    <xf numFmtId="37" fontId="25" fillId="0" borderId="16" xfId="105" applyNumberFormat="1" applyFont="1" applyBorder="1" applyAlignment="1" applyProtection="1">
      <alignment horizontal="centerContinuous"/>
    </xf>
    <xf numFmtId="37" fontId="25" fillId="0" borderId="19" xfId="105" applyNumberFormat="1" applyFont="1" applyBorder="1" applyProtection="1"/>
    <xf numFmtId="37" fontId="25" fillId="0" borderId="20" xfId="105" quotePrefix="1" applyNumberFormat="1" applyFont="1" applyBorder="1" applyAlignment="1" applyProtection="1">
      <alignment horizontal="center"/>
    </xf>
    <xf numFmtId="37" fontId="23" fillId="0" borderId="0" xfId="105" applyNumberFormat="1" applyFont="1" applyBorder="1" applyProtection="1"/>
    <xf numFmtId="37" fontId="23" fillId="0" borderId="0" xfId="105" quotePrefix="1" applyNumberFormat="1" applyFont="1" applyBorder="1" applyAlignment="1" applyProtection="1">
      <alignment horizontal="centerContinuous"/>
    </xf>
    <xf numFmtId="37" fontId="23" fillId="0" borderId="0" xfId="105" applyNumberFormat="1" applyFont="1" applyBorder="1" applyAlignment="1" applyProtection="1">
      <alignment horizontal="center"/>
    </xf>
    <xf numFmtId="37" fontId="23" fillId="0" borderId="0" xfId="105" applyNumberFormat="1" applyFont="1" applyBorder="1" applyAlignment="1" applyProtection="1">
      <alignment horizontal="centerContinuous"/>
    </xf>
    <xf numFmtId="37" fontId="23" fillId="0" borderId="0" xfId="105" quotePrefix="1" applyNumberFormat="1" applyFont="1" applyBorder="1" applyAlignment="1" applyProtection="1">
      <alignment horizontal="center"/>
    </xf>
    <xf numFmtId="37" fontId="25" fillId="0" borderId="0" xfId="105" applyFont="1" applyBorder="1" applyAlignment="1">
      <alignment horizontal="left"/>
    </xf>
    <xf numFmtId="165" fontId="23" fillId="0" borderId="0" xfId="56" applyNumberFormat="1" applyFont="1" applyBorder="1" applyProtection="1"/>
    <xf numFmtId="165" fontId="23" fillId="0" borderId="0" xfId="56" applyNumberFormat="1" applyFont="1" applyBorder="1" applyAlignment="1" applyProtection="1">
      <alignment horizontal="center"/>
    </xf>
    <xf numFmtId="165" fontId="23" fillId="0" borderId="0" xfId="56" quotePrefix="1" applyNumberFormat="1" applyFont="1" applyBorder="1" applyAlignment="1" applyProtection="1">
      <alignment horizontal="center"/>
    </xf>
    <xf numFmtId="165" fontId="23" fillId="0" borderId="0" xfId="56" applyNumberFormat="1" applyFont="1" applyBorder="1" applyAlignment="1" applyProtection="1">
      <alignment horizontal="right"/>
    </xf>
    <xf numFmtId="165" fontId="23" fillId="0" borderId="13" xfId="56" applyNumberFormat="1" applyFont="1" applyBorder="1" applyProtection="1"/>
    <xf numFmtId="37" fontId="25" fillId="0" borderId="0" xfId="105" applyNumberFormat="1" applyFont="1" applyBorder="1" applyAlignment="1" applyProtection="1">
      <alignment horizontal="right"/>
    </xf>
    <xf numFmtId="165" fontId="23" fillId="0" borderId="21" xfId="56" applyNumberFormat="1" applyFont="1" applyBorder="1" applyProtection="1"/>
    <xf numFmtId="165" fontId="23" fillId="0" borderId="0" xfId="56" applyNumberFormat="1" applyFont="1" applyBorder="1" applyAlignment="1" applyProtection="1"/>
    <xf numFmtId="0" fontId="37" fillId="0" borderId="0" xfId="0" applyNumberFormat="1" applyFont="1" applyFill="1" applyAlignment="1">
      <alignment horizontal="left" vertical="top"/>
    </xf>
    <xf numFmtId="0" fontId="38" fillId="0" borderId="0" xfId="0" applyNumberFormat="1" applyFont="1" applyFill="1" applyAlignment="1">
      <alignment horizontal="justify" vertical="top" wrapText="1"/>
    </xf>
    <xf numFmtId="0" fontId="38" fillId="0" borderId="0" xfId="0" applyNumberFormat="1" applyFont="1" applyFill="1" applyAlignment="1">
      <alignment horizontal="left" vertical="top"/>
    </xf>
    <xf numFmtId="0" fontId="38" fillId="0" borderId="22" xfId="0" applyNumberFormat="1" applyFont="1" applyFill="1" applyBorder="1" applyAlignment="1">
      <alignment horizontal="center" vertical="top" wrapText="1"/>
    </xf>
    <xf numFmtId="0" fontId="38" fillId="0" borderId="0" xfId="0" applyNumberFormat="1" applyFont="1" applyFill="1" applyAlignment="1">
      <alignment horizontal="center" vertical="top" wrapText="1"/>
    </xf>
    <xf numFmtId="0" fontId="38" fillId="0" borderId="22" xfId="0" applyNumberFormat="1" applyFont="1" applyFill="1" applyBorder="1" applyAlignment="1">
      <alignment horizontal="center" vertical="center" wrapText="1"/>
    </xf>
    <xf numFmtId="0" fontId="38" fillId="0" borderId="0" xfId="0" applyNumberFormat="1" applyFont="1" applyFill="1" applyAlignment="1">
      <alignment horizontal="center" vertical="center" wrapText="1"/>
    </xf>
    <xf numFmtId="37" fontId="25" fillId="0" borderId="23" xfId="105" applyNumberFormat="1" applyFont="1" applyBorder="1" applyAlignment="1" applyProtection="1">
      <alignment horizontal="centerContinuous" vertical="center"/>
    </xf>
    <xf numFmtId="37" fontId="25" fillId="0" borderId="20" xfId="105" applyNumberFormat="1" applyFont="1" applyBorder="1" applyAlignment="1" applyProtection="1">
      <alignment horizontal="centerContinuous" vertical="center"/>
    </xf>
    <xf numFmtId="37" fontId="25" fillId="0" borderId="19" xfId="105" applyNumberFormat="1" applyFont="1" applyBorder="1" applyAlignment="1" applyProtection="1">
      <alignment horizontal="centerContinuous" vertical="center"/>
    </xf>
    <xf numFmtId="37" fontId="23" fillId="0" borderId="0" xfId="122" applyNumberFormat="1" applyFont="1" applyFill="1"/>
    <xf numFmtId="37" fontId="39" fillId="0" borderId="0" xfId="110" applyNumberFormat="1" applyProtection="1"/>
    <xf numFmtId="165" fontId="0" fillId="0" borderId="0" xfId="56" applyNumberFormat="1" applyFont="1" applyProtection="1"/>
    <xf numFmtId="37" fontId="39" fillId="0" borderId="0" xfId="110"/>
    <xf numFmtId="37" fontId="40" fillId="0" borderId="0" xfId="110" applyFont="1" applyAlignment="1">
      <alignment horizontal="right"/>
    </xf>
    <xf numFmtId="37" fontId="41" fillId="0" borderId="0" xfId="110" applyNumberFormat="1" applyFont="1" applyAlignment="1" applyProtection="1">
      <alignment horizontal="left"/>
    </xf>
    <xf numFmtId="37" fontId="42" fillId="0" borderId="0" xfId="110" applyFont="1"/>
    <xf numFmtId="37" fontId="41" fillId="0" borderId="0" xfId="110" applyNumberFormat="1" applyFont="1" applyProtection="1"/>
    <xf numFmtId="37" fontId="41" fillId="0" borderId="18" xfId="110" applyNumberFormat="1" applyFont="1" applyBorder="1" applyAlignment="1" applyProtection="1">
      <alignment horizontal="centerContinuous"/>
    </xf>
    <xf numFmtId="37" fontId="41" fillId="0" borderId="13" xfId="110" applyNumberFormat="1" applyFont="1" applyBorder="1" applyAlignment="1" applyProtection="1">
      <alignment horizontal="centerContinuous"/>
    </xf>
    <xf numFmtId="165" fontId="41" fillId="0" borderId="13" xfId="56" applyNumberFormat="1" applyFont="1" applyBorder="1" applyAlignment="1" applyProtection="1">
      <alignment horizontal="centerContinuous"/>
    </xf>
    <xf numFmtId="37" fontId="41" fillId="0" borderId="24" xfId="110" applyNumberFormat="1" applyFont="1" applyBorder="1" applyAlignment="1" applyProtection="1">
      <alignment horizontal="centerContinuous"/>
    </xf>
    <xf numFmtId="37" fontId="39" fillId="0" borderId="15" xfId="110" applyNumberFormat="1" applyBorder="1" applyAlignment="1" applyProtection="1">
      <alignment horizontal="center"/>
    </xf>
    <xf numFmtId="37" fontId="39" fillId="0" borderId="19" xfId="110" applyNumberFormat="1" applyBorder="1" applyAlignment="1" applyProtection="1">
      <alignment horizontal="center"/>
    </xf>
    <xf numFmtId="37" fontId="26" fillId="0" borderId="0" xfId="110" applyNumberFormat="1" applyFont="1" applyFill="1" applyAlignment="1" applyProtection="1">
      <alignment horizontal="center"/>
    </xf>
    <xf numFmtId="165" fontId="0" fillId="0" borderId="0" xfId="56" applyNumberFormat="1" applyFont="1"/>
    <xf numFmtId="37" fontId="39" fillId="0" borderId="0" xfId="110" applyNumberFormat="1" applyAlignment="1" applyProtection="1">
      <alignment horizontal="center"/>
    </xf>
    <xf numFmtId="165" fontId="0" fillId="0" borderId="13" xfId="56" applyNumberFormat="1" applyFont="1" applyBorder="1" applyProtection="1"/>
    <xf numFmtId="165" fontId="0" fillId="0" borderId="21" xfId="56" applyNumberFormat="1" applyFont="1" applyBorder="1" applyProtection="1"/>
    <xf numFmtId="165" fontId="0" fillId="0" borderId="21" xfId="56" applyNumberFormat="1" applyFont="1" applyBorder="1"/>
    <xf numFmtId="165" fontId="23" fillId="0" borderId="25" xfId="56" applyNumberFormat="1" applyFont="1" applyFill="1" applyBorder="1"/>
    <xf numFmtId="37" fontId="28" fillId="0" borderId="8" xfId="0" applyFont="1" applyBorder="1"/>
    <xf numFmtId="37" fontId="0" fillId="0" borderId="8" xfId="0" applyBorder="1"/>
    <xf numFmtId="0" fontId="25" fillId="0" borderId="0" xfId="105" quotePrefix="1" applyNumberFormat="1" applyFont="1" applyFill="1" applyAlignment="1">
      <alignment horizontal="center"/>
    </xf>
    <xf numFmtId="37" fontId="44" fillId="0" borderId="0" xfId="105" applyFont="1"/>
    <xf numFmtId="37" fontId="36" fillId="0" borderId="0" xfId="105" applyFont="1"/>
    <xf numFmtId="165" fontId="36" fillId="0" borderId="0" xfId="63" applyNumberFormat="1" applyFont="1"/>
    <xf numFmtId="37" fontId="36" fillId="0" borderId="0" xfId="105" applyFont="1" applyBorder="1"/>
    <xf numFmtId="0" fontId="44" fillId="0" borderId="0" xfId="105" quotePrefix="1" applyNumberFormat="1" applyFont="1" applyFill="1" applyBorder="1" applyAlignment="1">
      <alignment horizontal="center" vertical="center"/>
    </xf>
    <xf numFmtId="0" fontId="36" fillId="0" borderId="0" xfId="105" applyNumberFormat="1" applyFont="1" applyFill="1" applyBorder="1" applyAlignment="1">
      <alignment horizontal="justify" vertical="top" wrapText="1"/>
    </xf>
    <xf numFmtId="37" fontId="44" fillId="0" borderId="0" xfId="105" applyFont="1" applyBorder="1" applyAlignment="1">
      <alignment horizontal="center" vertical="center" wrapText="1"/>
    </xf>
    <xf numFmtId="0" fontId="44" fillId="0" borderId="0" xfId="105" applyNumberFormat="1" applyFont="1" applyFill="1" applyBorder="1" applyAlignment="1">
      <alignment horizontal="center" vertical="center"/>
    </xf>
    <xf numFmtId="0" fontId="36" fillId="0" borderId="0" xfId="105" applyNumberFormat="1" applyFont="1" applyFill="1" applyBorder="1"/>
    <xf numFmtId="37" fontId="44" fillId="0" borderId="0" xfId="105" applyFont="1" applyBorder="1" applyAlignment="1">
      <alignment horizontal="center" vertical="center"/>
    </xf>
    <xf numFmtId="165" fontId="36" fillId="0" borderId="0" xfId="61" applyNumberFormat="1" applyFont="1"/>
    <xf numFmtId="165" fontId="36" fillId="0" borderId="25" xfId="63" applyNumberFormat="1" applyFont="1" applyBorder="1"/>
    <xf numFmtId="165" fontId="36" fillId="0" borderId="25" xfId="61" applyNumberFormat="1" applyFont="1" applyBorder="1"/>
    <xf numFmtId="165" fontId="36" fillId="0" borderId="26" xfId="61" applyNumberFormat="1" applyFont="1" applyBorder="1"/>
    <xf numFmtId="165" fontId="36" fillId="0" borderId="27" xfId="63" applyNumberFormat="1" applyFont="1" applyBorder="1"/>
    <xf numFmtId="165" fontId="36" fillId="0" borderId="27" xfId="61" applyNumberFormat="1" applyFont="1" applyBorder="1"/>
    <xf numFmtId="165" fontId="36" fillId="0" borderId="13" xfId="63" applyNumberFormat="1" applyFont="1" applyBorder="1"/>
    <xf numFmtId="165" fontId="36" fillId="0" borderId="13" xfId="61" applyNumberFormat="1" applyFont="1" applyBorder="1"/>
    <xf numFmtId="37" fontId="36" fillId="0" borderId="0" xfId="105" applyFont="1" applyAlignment="1">
      <alignment horizontal="left" indent="1"/>
    </xf>
    <xf numFmtId="165" fontId="36" fillId="0" borderId="28" xfId="61" applyNumberFormat="1" applyFont="1" applyBorder="1"/>
    <xf numFmtId="165" fontId="36" fillId="0" borderId="29" xfId="63" applyNumberFormat="1" applyFont="1" applyBorder="1"/>
    <xf numFmtId="165" fontId="36" fillId="0" borderId="29" xfId="61" applyNumberFormat="1" applyFont="1" applyBorder="1"/>
    <xf numFmtId="37" fontId="44" fillId="0" borderId="0" xfId="105" applyFont="1" applyAlignment="1">
      <alignment horizontal="center"/>
    </xf>
    <xf numFmtId="165" fontId="36" fillId="0" borderId="22" xfId="63" applyNumberFormat="1" applyFont="1" applyBorder="1"/>
    <xf numFmtId="165" fontId="36" fillId="0" borderId="22" xfId="61" applyNumberFormat="1" applyFont="1" applyBorder="1"/>
    <xf numFmtId="165" fontId="44" fillId="0" borderId="0" xfId="63" applyNumberFormat="1" applyFont="1" applyAlignment="1">
      <alignment horizontal="right"/>
    </xf>
    <xf numFmtId="167" fontId="27" fillId="0" borderId="0" xfId="121" applyFont="1" applyAlignment="1" applyProtection="1">
      <alignment horizontal="left"/>
    </xf>
    <xf numFmtId="167" fontId="27" fillId="0" borderId="0" xfId="121" applyFont="1" applyAlignment="1" applyProtection="1">
      <alignment horizontal="left" vertical="center"/>
    </xf>
    <xf numFmtId="0" fontId="37" fillId="0" borderId="0" xfId="0" quotePrefix="1" applyNumberFormat="1" applyFont="1" applyFill="1" applyBorder="1" applyAlignment="1">
      <alignment horizontal="center" vertical="center" wrapText="1"/>
    </xf>
    <xf numFmtId="0" fontId="38" fillId="0" borderId="0" xfId="0" applyNumberFormat="1" applyFont="1" applyFill="1"/>
    <xf numFmtId="0" fontId="37" fillId="0" borderId="0" xfId="0" applyNumberFormat="1" applyFont="1" applyFill="1" applyBorder="1" applyAlignment="1">
      <alignment horizontal="center" vertical="center" wrapText="1"/>
    </xf>
    <xf numFmtId="0" fontId="47" fillId="0" borderId="0" xfId="0" applyNumberFormat="1" applyFont="1" applyFill="1" applyAlignment="1">
      <alignment horizontal="centerContinuous"/>
    </xf>
    <xf numFmtId="165" fontId="48" fillId="0" borderId="0" xfId="61" applyNumberFormat="1" applyFont="1"/>
    <xf numFmtId="0" fontId="38" fillId="0" borderId="0" xfId="0" applyNumberFormat="1" applyFont="1" applyFill="1" applyBorder="1" applyAlignment="1">
      <alignment vertical="center"/>
    </xf>
    <xf numFmtId="165" fontId="23" fillId="0" borderId="0" xfId="61" applyNumberFormat="1" applyFont="1"/>
    <xf numFmtId="0" fontId="38" fillId="0" borderId="0" xfId="0" applyNumberFormat="1" applyFont="1" applyFill="1" applyBorder="1" applyAlignment="1">
      <alignment horizontal="left" vertical="center"/>
    </xf>
    <xf numFmtId="165" fontId="23" fillId="0" borderId="29" xfId="61" applyNumberFormat="1" applyFont="1" applyBorder="1"/>
    <xf numFmtId="0" fontId="37" fillId="0" borderId="0" xfId="0" applyNumberFormat="1" applyFont="1" applyFill="1" applyBorder="1" applyAlignment="1">
      <alignment horizontal="left" vertical="center"/>
    </xf>
    <xf numFmtId="165" fontId="23" fillId="0" borderId="22" xfId="61" applyNumberFormat="1" applyFont="1" applyBorder="1"/>
    <xf numFmtId="0" fontId="38" fillId="0" borderId="0" xfId="0" applyNumberFormat="1" applyFont="1" applyFill="1" applyBorder="1" applyAlignment="1">
      <alignment horizontal="left"/>
    </xf>
    <xf numFmtId="0" fontId="38" fillId="0" borderId="0" xfId="0" applyNumberFormat="1" applyFont="1" applyFill="1" applyBorder="1" applyAlignment="1"/>
    <xf numFmtId="165" fontId="0" fillId="0" borderId="0" xfId="61" applyNumberFormat="1" applyFont="1"/>
    <xf numFmtId="165" fontId="23" fillId="0" borderId="26" xfId="56" applyNumberFormat="1" applyFont="1" applyFill="1" applyBorder="1"/>
    <xf numFmtId="37" fontId="30" fillId="0" borderId="0" xfId="0" applyFont="1" applyFill="1" applyAlignment="1">
      <alignment horizontal="center" vertical="top"/>
    </xf>
    <xf numFmtId="165" fontId="29" fillId="0" borderId="0" xfId="61" applyNumberFormat="1" applyFont="1" applyFill="1" applyAlignment="1">
      <alignment horizontal="right" vertical="top"/>
    </xf>
    <xf numFmtId="165" fontId="31" fillId="0" borderId="13" xfId="61" applyNumberFormat="1" applyFont="1" applyFill="1" applyBorder="1" applyAlignment="1" applyProtection="1">
      <alignment horizontal="centerContinuous"/>
    </xf>
    <xf numFmtId="165" fontId="29" fillId="0" borderId="22" xfId="61" applyNumberFormat="1" applyFont="1" applyFill="1" applyBorder="1" applyAlignment="1">
      <alignment horizontal="right" vertical="top"/>
    </xf>
    <xf numFmtId="37" fontId="0" fillId="0" borderId="0" xfId="0" applyFill="1" applyAlignment="1">
      <alignment vertical="top" wrapText="1"/>
    </xf>
    <xf numFmtId="37" fontId="29" fillId="0" borderId="30" xfId="0" applyFont="1" applyFill="1" applyBorder="1" applyAlignment="1">
      <alignment horizontal="justify" vertical="top" wrapText="1"/>
    </xf>
    <xf numFmtId="165" fontId="29" fillId="0" borderId="21" xfId="56" applyNumberFormat="1" applyFont="1" applyFill="1" applyBorder="1" applyAlignment="1">
      <alignment vertical="top"/>
    </xf>
    <xf numFmtId="165" fontId="29" fillId="0" borderId="0" xfId="56" applyNumberFormat="1" applyFont="1" applyFill="1" applyAlignment="1">
      <alignment vertical="top"/>
    </xf>
    <xf numFmtId="49" fontId="25" fillId="0" borderId="0" xfId="105" applyNumberFormat="1" applyFont="1" applyFill="1" applyAlignment="1">
      <alignment horizontal="center"/>
    </xf>
    <xf numFmtId="165" fontId="0" fillId="0" borderId="0" xfId="56" applyNumberFormat="1" applyFont="1" applyAlignment="1">
      <alignment horizontal="left" indent="1"/>
    </xf>
    <xf numFmtId="165" fontId="28" fillId="0" borderId="0" xfId="56" applyNumberFormat="1" applyFont="1" applyAlignment="1">
      <alignment horizontal="center"/>
    </xf>
    <xf numFmtId="165" fontId="0" fillId="0" borderId="28" xfId="56" applyNumberFormat="1" applyFont="1" applyBorder="1"/>
    <xf numFmtId="165" fontId="0" fillId="0" borderId="29" xfId="56" applyNumberFormat="1" applyFont="1" applyBorder="1"/>
    <xf numFmtId="165" fontId="0" fillId="0" borderId="22" xfId="56" applyNumberFormat="1" applyFont="1" applyBorder="1"/>
    <xf numFmtId="165" fontId="25" fillId="0" borderId="0" xfId="61" applyNumberFormat="1" applyFont="1"/>
    <xf numFmtId="165" fontId="23" fillId="0" borderId="28" xfId="61" applyNumberFormat="1" applyFont="1" applyBorder="1"/>
    <xf numFmtId="37" fontId="49" fillId="0" borderId="0" xfId="0" applyFont="1"/>
    <xf numFmtId="37" fontId="25" fillId="0" borderId="0" xfId="0" applyFont="1" applyAlignment="1">
      <alignment horizontal="center" wrapText="1"/>
    </xf>
    <xf numFmtId="37" fontId="23" fillId="57" borderId="31" xfId="0" applyFont="1" applyFill="1" applyBorder="1" applyAlignment="1">
      <alignment horizontal="center"/>
    </xf>
    <xf numFmtId="37" fontId="23" fillId="0" borderId="28" xfId="0" applyFont="1" applyBorder="1"/>
    <xf numFmtId="37" fontId="30" fillId="0" borderId="0" xfId="0" applyFont="1" applyFill="1" applyAlignment="1">
      <alignment horizontal="left" vertical="top"/>
    </xf>
    <xf numFmtId="37" fontId="29" fillId="0" borderId="0" xfId="0" applyFont="1" applyFill="1" applyAlignment="1">
      <alignment horizontal="left" vertical="top"/>
    </xf>
    <xf numFmtId="37" fontId="23" fillId="0" borderId="0" xfId="0" applyFont="1" applyFill="1" applyAlignment="1">
      <alignment horizontal="left" vertical="top"/>
    </xf>
    <xf numFmtId="37" fontId="36" fillId="0" borderId="0" xfId="0" applyFont="1"/>
    <xf numFmtId="165" fontId="36" fillId="0" borderId="0" xfId="56" applyNumberFormat="1" applyFont="1"/>
    <xf numFmtId="37" fontId="23" fillId="0" borderId="32" xfId="0" applyFont="1" applyBorder="1"/>
    <xf numFmtId="37" fontId="23" fillId="0" borderId="30" xfId="0" applyFont="1" applyBorder="1"/>
    <xf numFmtId="37" fontId="23" fillId="0" borderId="33" xfId="0" applyFont="1" applyBorder="1"/>
    <xf numFmtId="37" fontId="23" fillId="0" borderId="34" xfId="0" applyFont="1" applyBorder="1"/>
    <xf numFmtId="37" fontId="23" fillId="0" borderId="35" xfId="0" applyFont="1" applyBorder="1"/>
    <xf numFmtId="37" fontId="23" fillId="0" borderId="36" xfId="0" applyFont="1" applyBorder="1"/>
    <xf numFmtId="37" fontId="23" fillId="0" borderId="37" xfId="0" applyFont="1" applyBorder="1"/>
    <xf numFmtId="37" fontId="23" fillId="0" borderId="38" xfId="0" applyFont="1" applyBorder="1"/>
    <xf numFmtId="37" fontId="23" fillId="0" borderId="22" xfId="0" applyFont="1" applyBorder="1"/>
    <xf numFmtId="37" fontId="23" fillId="0" borderId="39" xfId="0" applyFont="1" applyBorder="1"/>
    <xf numFmtId="37" fontId="23" fillId="0" borderId="40" xfId="0" applyFont="1" applyBorder="1"/>
    <xf numFmtId="37" fontId="23" fillId="0" borderId="26" xfId="0" applyFont="1" applyBorder="1"/>
    <xf numFmtId="37" fontId="23" fillId="0" borderId="27" xfId="0" applyFont="1" applyBorder="1"/>
    <xf numFmtId="37" fontId="23" fillId="0" borderId="41" xfId="0" applyFont="1" applyBorder="1"/>
    <xf numFmtId="0" fontId="23" fillId="0" borderId="0" xfId="105" applyNumberFormat="1" applyFont="1" applyFill="1" applyAlignment="1">
      <alignment horizontal="left" vertical="top"/>
    </xf>
    <xf numFmtId="0" fontId="23" fillId="0" borderId="0" xfId="105" applyNumberFormat="1" applyFont="1" applyFill="1"/>
    <xf numFmtId="0" fontId="30" fillId="0" borderId="0" xfId="105" applyNumberFormat="1" applyFont="1" applyFill="1"/>
    <xf numFmtId="0" fontId="29" fillId="0" borderId="0" xfId="105" applyNumberFormat="1" applyFont="1" applyFill="1"/>
    <xf numFmtId="0" fontId="29" fillId="0" borderId="0" xfId="105" applyNumberFormat="1" applyFont="1" applyFill="1" applyAlignment="1">
      <alignment horizontal="left" indent="1"/>
    </xf>
    <xf numFmtId="165" fontId="36" fillId="0" borderId="0" xfId="61" applyNumberFormat="1" applyFont="1" applyFill="1" applyBorder="1" applyProtection="1"/>
    <xf numFmtId="37" fontId="23" fillId="0" borderId="0" xfId="0" applyFont="1" applyFill="1" applyBorder="1"/>
    <xf numFmtId="37" fontId="28" fillId="0" borderId="8" xfId="0" applyFont="1" applyBorder="1" applyAlignment="1">
      <alignment horizontal="center" wrapText="1"/>
    </xf>
    <xf numFmtId="37" fontId="29" fillId="0" borderId="0" xfId="105" applyFont="1" applyFill="1"/>
    <xf numFmtId="37" fontId="35" fillId="0" borderId="0" xfId="105" applyFont="1" applyFill="1" applyAlignment="1">
      <alignment horizontal="right"/>
    </xf>
    <xf numFmtId="37" fontId="25" fillId="0" borderId="0" xfId="105" applyFont="1" applyFill="1" applyAlignment="1">
      <alignment horizontal="left"/>
    </xf>
    <xf numFmtId="37" fontId="25" fillId="0" borderId="0" xfId="105" applyFont="1" applyFill="1" applyAlignment="1" applyProtection="1">
      <alignment horizontal="left"/>
    </xf>
    <xf numFmtId="37" fontId="30" fillId="0" borderId="0" xfId="105" applyFont="1" applyFill="1" applyAlignment="1">
      <alignment horizontal="left"/>
    </xf>
    <xf numFmtId="37" fontId="30" fillId="0" borderId="0" xfId="105" applyFont="1" applyFill="1" applyAlignment="1">
      <alignment horizontal="center" vertical="top"/>
    </xf>
    <xf numFmtId="37" fontId="30" fillId="0" borderId="0" xfId="105" applyFont="1" applyFill="1" applyAlignment="1">
      <alignment horizontal="left" vertical="top"/>
    </xf>
    <xf numFmtId="164" fontId="30" fillId="0" borderId="0" xfId="56" applyNumberFormat="1" applyFont="1" applyFill="1" applyAlignment="1">
      <alignment vertical="top"/>
    </xf>
    <xf numFmtId="37" fontId="30" fillId="0" borderId="0" xfId="105" applyFont="1" applyFill="1" applyAlignment="1">
      <alignment vertical="top"/>
    </xf>
    <xf numFmtId="37" fontId="29" fillId="0" borderId="0" xfId="105" applyFont="1" applyFill="1" applyAlignment="1">
      <alignment horizontal="justify" vertical="top" wrapText="1"/>
    </xf>
    <xf numFmtId="37" fontId="29" fillId="0" borderId="0" xfId="105" applyFont="1" applyFill="1" applyAlignment="1">
      <alignment horizontal="left" vertical="top"/>
    </xf>
    <xf numFmtId="37" fontId="30" fillId="0" borderId="0" xfId="105" applyFont="1" applyFill="1" applyAlignment="1">
      <alignment horizontal="centerContinuous" vertical="top"/>
    </xf>
    <xf numFmtId="37" fontId="29" fillId="0" borderId="0" xfId="105" applyFont="1" applyFill="1" applyAlignment="1">
      <alignment horizontal="centerContinuous" vertical="top"/>
    </xf>
    <xf numFmtId="37" fontId="30" fillId="0" borderId="0" xfId="105" applyFont="1" applyFill="1" applyAlignment="1" applyProtection="1">
      <alignment vertical="top"/>
    </xf>
    <xf numFmtId="37" fontId="30" fillId="0" borderId="0" xfId="105" quotePrefix="1" applyFont="1" applyFill="1" applyAlignment="1">
      <alignment horizontal="center" vertical="top"/>
    </xf>
    <xf numFmtId="165" fontId="30" fillId="0" borderId="0" xfId="56" applyNumberFormat="1" applyFont="1" applyFill="1" applyAlignment="1" applyProtection="1">
      <alignment vertical="top"/>
    </xf>
    <xf numFmtId="37" fontId="29" fillId="0" borderId="0" xfId="105" applyFont="1" applyFill="1" applyAlignment="1">
      <alignment vertical="top" wrapText="1"/>
    </xf>
    <xf numFmtId="37" fontId="0" fillId="0" borderId="0" xfId="0" applyFill="1" applyAlignment="1">
      <alignment horizontal="justify" vertical="top" wrapText="1"/>
    </xf>
    <xf numFmtId="37" fontId="30" fillId="0" borderId="0" xfId="105" applyFont="1" applyFill="1"/>
    <xf numFmtId="37" fontId="30" fillId="0" borderId="0" xfId="105" applyFont="1" applyFill="1" applyAlignment="1">
      <alignment vertical="top" wrapText="1"/>
    </xf>
    <xf numFmtId="37" fontId="30" fillId="0" borderId="0" xfId="105" applyFont="1" applyFill="1" applyAlignment="1">
      <alignment horizontal="justify" vertical="top" wrapText="1"/>
    </xf>
    <xf numFmtId="37" fontId="30" fillId="0" borderId="0" xfId="105" applyFont="1" applyFill="1" applyAlignment="1">
      <alignment horizontal="center"/>
    </xf>
    <xf numFmtId="37" fontId="28" fillId="0" borderId="0" xfId="0" applyFont="1" applyFill="1" applyAlignment="1">
      <alignment wrapText="1"/>
    </xf>
    <xf numFmtId="37" fontId="30" fillId="0" borderId="0" xfId="105" applyFont="1" applyFill="1" applyAlignment="1">
      <alignment horizontal="justify" wrapText="1"/>
    </xf>
    <xf numFmtId="37" fontId="29" fillId="0" borderId="0" xfId="105" applyFont="1" applyFill="1" applyAlignment="1">
      <alignment horizontal="justify" wrapText="1"/>
    </xf>
    <xf numFmtId="37" fontId="0" fillId="0" borderId="0" xfId="0" applyFill="1" applyAlignment="1">
      <alignment wrapText="1"/>
    </xf>
    <xf numFmtId="37" fontId="30" fillId="0" borderId="0" xfId="105" quotePrefix="1" applyFont="1" applyFill="1" applyAlignment="1">
      <alignment horizontal="center"/>
    </xf>
    <xf numFmtId="37" fontId="29" fillId="0" borderId="0" xfId="105" applyFont="1" applyFill="1" applyAlignment="1">
      <alignment horizontal="left"/>
    </xf>
    <xf numFmtId="37" fontId="29" fillId="0" borderId="0" xfId="105" quotePrefix="1" applyFont="1" applyFill="1" applyAlignment="1">
      <alignment horizontal="center"/>
    </xf>
    <xf numFmtId="37" fontId="29" fillId="0" borderId="0" xfId="105" applyFont="1" applyFill="1" applyAlignment="1"/>
    <xf numFmtId="37" fontId="30" fillId="0" borderId="0" xfId="105" applyFont="1" applyFill="1" applyAlignment="1">
      <alignment horizontal="left" vertical="top" wrapText="1"/>
    </xf>
    <xf numFmtId="37" fontId="30" fillId="0" borderId="0" xfId="105" quotePrefix="1" applyFont="1" applyFill="1" applyAlignment="1">
      <alignment horizontal="left" vertical="top" wrapText="1"/>
    </xf>
    <xf numFmtId="37" fontId="33" fillId="0" borderId="0" xfId="105" applyFill="1" applyAlignment="1">
      <alignment horizontal="justify" vertical="top"/>
    </xf>
    <xf numFmtId="37" fontId="36" fillId="0" borderId="0" xfId="105" applyFont="1" applyFill="1" applyAlignment="1">
      <alignment horizontal="justify" vertical="top" wrapText="1"/>
    </xf>
    <xf numFmtId="165" fontId="29" fillId="0" borderId="0" xfId="56" applyNumberFormat="1" applyFont="1" applyFill="1" applyAlignment="1">
      <alignment horizontal="center" vertical="top"/>
    </xf>
    <xf numFmtId="37" fontId="30" fillId="0" borderId="29" xfId="105" applyFont="1" applyFill="1" applyBorder="1" applyAlignment="1">
      <alignment horizontal="center" vertical="top"/>
    </xf>
    <xf numFmtId="165" fontId="29" fillId="0" borderId="22" xfId="56" applyNumberFormat="1" applyFont="1" applyFill="1" applyBorder="1" applyAlignment="1" applyProtection="1">
      <alignment vertical="top"/>
    </xf>
    <xf numFmtId="165" fontId="29" fillId="0" borderId="0" xfId="56" applyNumberFormat="1" applyFont="1" applyFill="1" applyBorder="1" applyAlignment="1" applyProtection="1">
      <alignment vertical="top"/>
    </xf>
    <xf numFmtId="37" fontId="29" fillId="0" borderId="22" xfId="105" applyFont="1" applyFill="1" applyBorder="1" applyAlignment="1">
      <alignment vertical="top"/>
    </xf>
    <xf numFmtId="37" fontId="29" fillId="0" borderId="0" xfId="105" applyFont="1" applyFill="1" applyAlignment="1">
      <alignment horizontal="center" vertical="top"/>
    </xf>
    <xf numFmtId="165" fontId="29" fillId="0" borderId="28" xfId="56" applyNumberFormat="1" applyFont="1" applyFill="1" applyBorder="1"/>
    <xf numFmtId="37" fontId="29" fillId="0" borderId="0" xfId="105" quotePrefix="1" applyFont="1" applyFill="1" applyAlignment="1">
      <alignment horizontal="left" vertical="top" indent="2"/>
    </xf>
    <xf numFmtId="37" fontId="29" fillId="0" borderId="21" xfId="105" applyFont="1" applyFill="1" applyBorder="1" applyAlignment="1">
      <alignment vertical="top"/>
    </xf>
    <xf numFmtId="37" fontId="29" fillId="0" borderId="0" xfId="105" applyFont="1" applyFill="1" applyAlignment="1">
      <alignment horizontal="left" vertical="top" indent="1"/>
    </xf>
    <xf numFmtId="37" fontId="29" fillId="0" borderId="0" xfId="105" applyFont="1" applyFill="1" applyBorder="1" applyAlignment="1">
      <alignment horizontal="left" vertical="top"/>
    </xf>
    <xf numFmtId="165" fontId="29" fillId="0" borderId="0" xfId="56" applyNumberFormat="1" applyFont="1" applyFill="1" applyBorder="1"/>
    <xf numFmtId="166" fontId="30" fillId="0" borderId="0" xfId="105" applyNumberFormat="1" applyFont="1" applyFill="1" applyAlignment="1">
      <alignment horizontal="center" vertical="top"/>
    </xf>
    <xf numFmtId="165" fontId="29" fillId="0" borderId="0" xfId="56" applyNumberFormat="1" applyFont="1" applyFill="1" applyAlignment="1">
      <alignment horizontal="center" vertical="center"/>
    </xf>
    <xf numFmtId="43" fontId="29" fillId="0" borderId="22" xfId="56" applyFont="1" applyFill="1" applyBorder="1" applyAlignment="1">
      <alignment vertical="top"/>
    </xf>
    <xf numFmtId="164" fontId="29" fillId="0" borderId="0" xfId="56" quotePrefix="1" applyNumberFormat="1" applyFont="1" applyFill="1" applyAlignment="1">
      <alignment horizontal="center" vertical="top" wrapText="1"/>
    </xf>
    <xf numFmtId="37" fontId="30" fillId="0" borderId="0" xfId="105" applyFont="1" applyFill="1" applyBorder="1" applyAlignment="1">
      <alignment horizontal="left" vertical="top"/>
    </xf>
    <xf numFmtId="37" fontId="30" fillId="0" borderId="0" xfId="105" applyFont="1" applyFill="1" applyBorder="1" applyAlignment="1">
      <alignment vertical="top"/>
    </xf>
    <xf numFmtId="37" fontId="29" fillId="0" borderId="0" xfId="105" quotePrefix="1" applyFont="1" applyFill="1" applyAlignment="1">
      <alignment horizontal="center" vertical="top"/>
    </xf>
    <xf numFmtId="164" fontId="29" fillId="0" borderId="0" xfId="56" applyNumberFormat="1" applyFont="1" applyFill="1" applyAlignment="1">
      <alignment vertical="top" wrapText="1"/>
    </xf>
    <xf numFmtId="164" fontId="29" fillId="0" borderId="0" xfId="56" applyNumberFormat="1" applyFont="1" applyFill="1" applyAlignment="1">
      <alignment horizontal="left" vertical="top"/>
    </xf>
    <xf numFmtId="37" fontId="30" fillId="0" borderId="0" xfId="105" applyFont="1" applyFill="1" applyAlignment="1">
      <alignment horizontal="right" vertical="top"/>
    </xf>
    <xf numFmtId="37" fontId="29" fillId="0" borderId="0" xfId="105" applyNumberFormat="1" applyFont="1" applyFill="1" applyProtection="1"/>
    <xf numFmtId="37" fontId="30" fillId="0" borderId="0" xfId="105" applyNumberFormat="1" applyFont="1" applyFill="1" applyAlignment="1" applyProtection="1">
      <alignment vertical="top"/>
    </xf>
    <xf numFmtId="37" fontId="25" fillId="0" borderId="0" xfId="122" applyNumberFormat="1" applyFont="1" applyFill="1" applyAlignment="1">
      <alignment horizontal="center"/>
    </xf>
    <xf numFmtId="37" fontId="25" fillId="0" borderId="0" xfId="122" applyNumberFormat="1" applyFont="1" applyFill="1"/>
    <xf numFmtId="37" fontId="25" fillId="0" borderId="0" xfId="122" quotePrefix="1" applyNumberFormat="1" applyFont="1" applyFill="1" applyAlignment="1">
      <alignment horizontal="center"/>
    </xf>
    <xf numFmtId="37" fontId="25" fillId="0" borderId="0" xfId="0" applyFont="1" applyFill="1"/>
    <xf numFmtId="37" fontId="23" fillId="0" borderId="0" xfId="0" applyFont="1" applyFill="1"/>
    <xf numFmtId="37" fontId="25" fillId="0" borderId="0" xfId="0" applyFont="1" applyFill="1" applyAlignment="1">
      <alignment horizontal="left" indent="1"/>
    </xf>
    <xf numFmtId="37" fontId="25" fillId="0" borderId="0" xfId="122" applyNumberFormat="1" applyFont="1" applyFill="1" applyAlignment="1">
      <alignment horizontal="center" vertical="center"/>
    </xf>
    <xf numFmtId="165" fontId="23" fillId="0" borderId="22" xfId="56" applyNumberFormat="1" applyFont="1" applyFill="1" applyBorder="1"/>
    <xf numFmtId="165" fontId="23" fillId="0" borderId="0" xfId="56" applyNumberFormat="1" applyFont="1" applyFill="1" applyBorder="1" applyAlignment="1"/>
    <xf numFmtId="37" fontId="23" fillId="0" borderId="0" xfId="122" applyNumberFormat="1" applyFont="1" applyFill="1" applyBorder="1"/>
    <xf numFmtId="165" fontId="23" fillId="0" borderId="0" xfId="56" applyNumberFormat="1" applyFont="1" applyFill="1" applyBorder="1" applyAlignment="1">
      <alignment horizontal="center" vertical="center"/>
    </xf>
    <xf numFmtId="165" fontId="23" fillId="0" borderId="0" xfId="56" applyNumberFormat="1" applyFont="1" applyFill="1"/>
    <xf numFmtId="37" fontId="23" fillId="0" borderId="0" xfId="0" applyFont="1" applyFill="1" applyAlignment="1">
      <alignment horizontal="left" indent="1"/>
    </xf>
    <xf numFmtId="164" fontId="23" fillId="0" borderId="0" xfId="56" applyNumberFormat="1" applyFont="1" applyFill="1"/>
    <xf numFmtId="37" fontId="23" fillId="0" borderId="0" xfId="122" quotePrefix="1" applyNumberFormat="1" applyFont="1" applyFill="1"/>
    <xf numFmtId="37" fontId="23" fillId="0" borderId="0" xfId="122" applyNumberFormat="1" applyFont="1" applyFill="1" applyAlignment="1">
      <alignment horizontal="left"/>
    </xf>
    <xf numFmtId="37" fontId="23" fillId="0" borderId="0" xfId="122" applyNumberFormat="1" applyFont="1" applyFill="1" applyBorder="1" applyAlignment="1">
      <alignment horizontal="left" indent="1"/>
    </xf>
    <xf numFmtId="43" fontId="23" fillId="0" borderId="0" xfId="56" applyFont="1" applyFill="1"/>
    <xf numFmtId="37" fontId="23" fillId="0" borderId="0" xfId="122" applyNumberFormat="1" applyFont="1" applyFill="1" applyBorder="1" applyAlignment="1">
      <alignment horizontal="left"/>
    </xf>
    <xf numFmtId="37" fontId="25" fillId="0" borderId="0" xfId="122" applyNumberFormat="1" applyFont="1" applyFill="1" applyBorder="1" applyAlignment="1">
      <alignment horizontal="center" vertical="center"/>
    </xf>
    <xf numFmtId="37" fontId="23" fillId="0" borderId="29" xfId="122" applyNumberFormat="1" applyFont="1" applyFill="1" applyBorder="1"/>
    <xf numFmtId="165" fontId="23" fillId="0" borderId="29" xfId="56" applyNumberFormat="1" applyFont="1" applyFill="1" applyBorder="1"/>
    <xf numFmtId="37" fontId="25" fillId="0" borderId="0" xfId="122" applyNumberFormat="1" applyFont="1" applyFill="1" applyBorder="1"/>
    <xf numFmtId="165" fontId="23" fillId="0" borderId="28" xfId="56" applyNumberFormat="1" applyFont="1" applyFill="1" applyBorder="1"/>
    <xf numFmtId="37" fontId="25" fillId="0" borderId="0" xfId="0" applyFont="1" applyFill="1" applyBorder="1"/>
    <xf numFmtId="37" fontId="25" fillId="0" borderId="0" xfId="122" applyNumberFormat="1" applyFont="1" applyFill="1" applyBorder="1" applyAlignment="1">
      <alignment horizontal="center"/>
    </xf>
    <xf numFmtId="37" fontId="23" fillId="0" borderId="0" xfId="122" applyNumberFormat="1" applyFont="1" applyFill="1" applyBorder="1" applyAlignment="1">
      <alignment horizontal="center"/>
    </xf>
    <xf numFmtId="37" fontId="25" fillId="0" borderId="0" xfId="0" applyFont="1" applyFill="1" applyAlignment="1">
      <alignment horizontal="center" vertical="center"/>
    </xf>
    <xf numFmtId="165" fontId="23" fillId="0" borderId="27" xfId="56" applyNumberFormat="1" applyFont="1" applyFill="1" applyBorder="1"/>
    <xf numFmtId="165" fontId="23" fillId="0" borderId="13" xfId="56" applyNumberFormat="1" applyFont="1" applyFill="1" applyBorder="1"/>
    <xf numFmtId="165" fontId="23" fillId="0" borderId="21" xfId="56" applyNumberFormat="1" applyFont="1" applyFill="1" applyBorder="1"/>
    <xf numFmtId="37" fontId="23" fillId="0" borderId="0" xfId="105" applyFont="1" applyFill="1" applyAlignment="1">
      <alignment vertical="top"/>
    </xf>
    <xf numFmtId="37" fontId="35" fillId="0" borderId="0" xfId="105" applyFont="1" applyFill="1" applyAlignment="1">
      <alignment horizontal="right" vertical="top"/>
    </xf>
    <xf numFmtId="37" fontId="25" fillId="0" borderId="0" xfId="105" applyFont="1" applyFill="1" applyAlignment="1">
      <alignment vertical="top"/>
    </xf>
    <xf numFmtId="37" fontId="23" fillId="0" borderId="0" xfId="105" applyNumberFormat="1" applyFont="1" applyFill="1" applyAlignment="1" applyProtection="1">
      <alignment vertical="top"/>
    </xf>
    <xf numFmtId="37" fontId="25" fillId="0" borderId="0" xfId="105" applyNumberFormat="1" applyFont="1" applyFill="1" applyAlignment="1" applyProtection="1">
      <alignment vertical="top"/>
    </xf>
    <xf numFmtId="49" fontId="23" fillId="0" borderId="0" xfId="105" applyNumberFormat="1" applyFont="1" applyFill="1"/>
    <xf numFmtId="37" fontId="25" fillId="0" borderId="0" xfId="105" applyFont="1" applyFill="1" applyAlignment="1">
      <alignment horizontal="center" vertical="top"/>
    </xf>
    <xf numFmtId="37" fontId="25" fillId="0" borderId="0" xfId="105" applyNumberFormat="1" applyFont="1" applyFill="1" applyAlignment="1" applyProtection="1">
      <alignment horizontal="center" vertical="top"/>
    </xf>
    <xf numFmtId="37" fontId="23" fillId="0" borderId="0" xfId="105" applyFont="1" applyFill="1" applyAlignment="1">
      <alignment horizontal="center" vertical="top"/>
    </xf>
    <xf numFmtId="164" fontId="23" fillId="0" borderId="0" xfId="56" applyNumberFormat="1" applyFont="1" applyFill="1" applyAlignment="1">
      <alignment vertical="top"/>
    </xf>
    <xf numFmtId="37" fontId="23" fillId="0" borderId="69" xfId="105" applyNumberFormat="1" applyFont="1" applyFill="1" applyBorder="1" applyAlignment="1" applyProtection="1">
      <alignment vertical="top"/>
    </xf>
    <xf numFmtId="37" fontId="23" fillId="0" borderId="0" xfId="105" applyFont="1" applyFill="1" applyBorder="1" applyAlignment="1">
      <alignment vertical="top"/>
    </xf>
    <xf numFmtId="165" fontId="23" fillId="0" borderId="70" xfId="56" applyNumberFormat="1" applyFont="1" applyFill="1" applyBorder="1" applyAlignment="1" applyProtection="1">
      <alignment vertical="top"/>
    </xf>
    <xf numFmtId="165" fontId="23" fillId="0" borderId="0" xfId="56" applyNumberFormat="1" applyFont="1" applyFill="1" applyAlignment="1">
      <alignment vertical="top"/>
    </xf>
    <xf numFmtId="165" fontId="23" fillId="0" borderId="0" xfId="56" applyNumberFormat="1" applyFont="1" applyFill="1" applyBorder="1" applyAlignment="1" applyProtection="1">
      <alignment vertical="top"/>
    </xf>
    <xf numFmtId="37" fontId="23" fillId="0" borderId="0" xfId="105" applyNumberFormat="1" applyFont="1" applyFill="1" applyBorder="1" applyAlignment="1" applyProtection="1">
      <alignment vertical="top"/>
    </xf>
    <xf numFmtId="37" fontId="23" fillId="0" borderId="13" xfId="105" applyNumberFormat="1" applyFont="1" applyFill="1" applyBorder="1" applyAlignment="1" applyProtection="1">
      <alignment vertical="top"/>
    </xf>
    <xf numFmtId="37" fontId="23" fillId="0" borderId="0" xfId="105" applyFont="1" applyFill="1" applyAlignment="1">
      <alignment horizontal="left" vertical="top"/>
    </xf>
    <xf numFmtId="165" fontId="23" fillId="0" borderId="15" xfId="56" applyNumberFormat="1" applyFont="1" applyFill="1" applyBorder="1" applyAlignment="1" applyProtection="1">
      <alignment vertical="top"/>
    </xf>
    <xf numFmtId="37" fontId="23" fillId="0" borderId="21" xfId="105" applyFont="1" applyFill="1" applyBorder="1" applyAlignment="1">
      <alignment vertical="top"/>
    </xf>
    <xf numFmtId="43" fontId="23" fillId="0" borderId="71" xfId="56" applyFont="1" applyFill="1" applyBorder="1" applyAlignment="1">
      <alignment vertical="top"/>
    </xf>
    <xf numFmtId="37" fontId="23" fillId="0" borderId="0" xfId="105" quotePrefix="1" applyFont="1" applyFill="1" applyAlignment="1">
      <alignment horizontal="center" vertical="top"/>
    </xf>
    <xf numFmtId="37" fontId="25" fillId="0" borderId="0" xfId="105" applyFont="1" applyFill="1" applyAlignment="1">
      <alignment horizontal="right" vertical="top"/>
    </xf>
    <xf numFmtId="165" fontId="23" fillId="0" borderId="0" xfId="56" applyNumberFormat="1" applyFont="1" applyFill="1" applyAlignment="1">
      <alignment horizontal="left" vertical="top"/>
    </xf>
    <xf numFmtId="165" fontId="23" fillId="0" borderId="0" xfId="56" applyNumberFormat="1" applyFont="1" applyFill="1" applyBorder="1" applyAlignment="1">
      <alignment vertical="top"/>
    </xf>
    <xf numFmtId="37" fontId="25" fillId="0" borderId="0" xfId="105" quotePrefix="1" applyFont="1" applyFill="1" applyAlignment="1">
      <alignment vertical="top"/>
    </xf>
    <xf numFmtId="37" fontId="23" fillId="0" borderId="42" xfId="105" applyFont="1" applyFill="1" applyBorder="1" applyAlignment="1">
      <alignment vertical="top"/>
    </xf>
    <xf numFmtId="43" fontId="23" fillId="0" borderId="42" xfId="56" applyFont="1" applyFill="1" applyBorder="1" applyAlignment="1">
      <alignment vertical="top"/>
    </xf>
    <xf numFmtId="37" fontId="23" fillId="0" borderId="0" xfId="105" quotePrefix="1" applyFont="1" applyFill="1" applyAlignment="1">
      <alignment vertical="top"/>
    </xf>
    <xf numFmtId="165" fontId="29" fillId="0" borderId="28" xfId="56" applyNumberFormat="1" applyFont="1" applyFill="1" applyBorder="1" applyAlignment="1">
      <alignment horizontal="center" vertical="top"/>
    </xf>
    <xf numFmtId="37" fontId="25" fillId="0" borderId="0" xfId="0" quotePrefix="1" applyFont="1" applyAlignment="1">
      <alignment horizontal="center"/>
    </xf>
    <xf numFmtId="43" fontId="23" fillId="0" borderId="0" xfId="56" applyFont="1"/>
    <xf numFmtId="37" fontId="25" fillId="0" borderId="43" xfId="0" applyFont="1" applyBorder="1"/>
    <xf numFmtId="37" fontId="25" fillId="0" borderId="44" xfId="0" applyFont="1" applyBorder="1"/>
    <xf numFmtId="43" fontId="23" fillId="0" borderId="0" xfId="56" applyFont="1" applyFill="1" applyBorder="1"/>
    <xf numFmtId="37" fontId="23" fillId="0" borderId="72" xfId="105" applyNumberFormat="1" applyFont="1" applyBorder="1" applyProtection="1"/>
    <xf numFmtId="37" fontId="25" fillId="0" borderId="0" xfId="105" applyNumberFormat="1" applyFont="1" applyBorder="1" applyAlignment="1" applyProtection="1">
      <alignment horizontal="right" indent="1"/>
    </xf>
    <xf numFmtId="165" fontId="36" fillId="0" borderId="0" xfId="56" applyNumberFormat="1" applyFont="1" applyFill="1" applyBorder="1"/>
    <xf numFmtId="165" fontId="36" fillId="0" borderId="0" xfId="56" applyNumberFormat="1" applyFont="1" applyFill="1" applyBorder="1" applyProtection="1"/>
    <xf numFmtId="165" fontId="29" fillId="0" borderId="0" xfId="56" applyNumberFormat="1" applyFont="1" applyFill="1" applyBorder="1" applyAlignment="1">
      <alignment vertical="top"/>
    </xf>
    <xf numFmtId="165" fontId="25" fillId="0" borderId="0" xfId="56" quotePrefix="1" applyNumberFormat="1" applyFont="1" applyFill="1" applyAlignment="1">
      <alignment horizontal="center"/>
    </xf>
    <xf numFmtId="165" fontId="25" fillId="0" borderId="0" xfId="56" applyNumberFormat="1" applyFont="1" applyFill="1" applyAlignment="1">
      <alignment horizontal="center"/>
    </xf>
    <xf numFmtId="165" fontId="25" fillId="0" borderId="0" xfId="56" applyNumberFormat="1" applyFont="1" applyFill="1"/>
    <xf numFmtId="165" fontId="26" fillId="0" borderId="0" xfId="56" applyNumberFormat="1" applyFont="1" applyFill="1" applyAlignment="1" applyProtection="1">
      <alignment horizontal="center" vertical="top"/>
    </xf>
    <xf numFmtId="37" fontId="50" fillId="0" borderId="0" xfId="0" applyFont="1"/>
    <xf numFmtId="37" fontId="50" fillId="58" borderId="0" xfId="0" applyFont="1" applyFill="1"/>
    <xf numFmtId="37" fontId="50" fillId="0" borderId="0" xfId="0" applyFont="1" applyFill="1"/>
    <xf numFmtId="37" fontId="50" fillId="59" borderId="0" xfId="0" applyFont="1" applyFill="1"/>
    <xf numFmtId="165" fontId="50" fillId="0" borderId="0" xfId="56" applyNumberFormat="1" applyFont="1"/>
    <xf numFmtId="165" fontId="51" fillId="57" borderId="31" xfId="56" applyNumberFormat="1" applyFont="1" applyFill="1" applyBorder="1" applyAlignment="1">
      <alignment horizontal="center"/>
    </xf>
    <xf numFmtId="165" fontId="51" fillId="57" borderId="45" xfId="56" applyNumberFormat="1" applyFont="1" applyFill="1" applyBorder="1" applyAlignment="1">
      <alignment horizontal="center"/>
    </xf>
    <xf numFmtId="165" fontId="50" fillId="58" borderId="0" xfId="56" applyNumberFormat="1" applyFont="1" applyFill="1"/>
    <xf numFmtId="165" fontId="50" fillId="59" borderId="0" xfId="56" applyNumberFormat="1" applyFont="1" applyFill="1"/>
    <xf numFmtId="165" fontId="50" fillId="0" borderId="44" xfId="56" applyNumberFormat="1" applyFont="1" applyBorder="1"/>
    <xf numFmtId="165" fontId="23" fillId="0" borderId="25" xfId="56" applyNumberFormat="1" applyFont="1" applyFill="1" applyBorder="1" applyAlignment="1">
      <alignment horizontal="center" vertical="center"/>
    </xf>
    <xf numFmtId="165" fontId="23" fillId="0" borderId="26" xfId="56" applyNumberFormat="1" applyFont="1" applyFill="1" applyBorder="1" applyAlignment="1">
      <alignment horizontal="center" vertical="center"/>
    </xf>
    <xf numFmtId="43" fontId="23" fillId="0" borderId="0" xfId="56" applyNumberFormat="1" applyFont="1" applyFill="1" applyBorder="1" applyAlignment="1" applyProtection="1">
      <alignment vertical="top"/>
    </xf>
    <xf numFmtId="165" fontId="36" fillId="0" borderId="0" xfId="63" applyNumberFormat="1" applyFont="1" applyFill="1"/>
    <xf numFmtId="165" fontId="36" fillId="0" borderId="25" xfId="63" applyNumberFormat="1" applyFont="1" applyFill="1" applyBorder="1"/>
    <xf numFmtId="165" fontId="36" fillId="0" borderId="26" xfId="63" applyNumberFormat="1" applyFont="1" applyFill="1" applyBorder="1"/>
    <xf numFmtId="165" fontId="36" fillId="0" borderId="27" xfId="63" applyNumberFormat="1" applyFont="1" applyFill="1" applyBorder="1"/>
    <xf numFmtId="165" fontId="36" fillId="0" borderId="13" xfId="63" applyNumberFormat="1" applyFont="1" applyFill="1" applyBorder="1"/>
    <xf numFmtId="165" fontId="36" fillId="0" borderId="28" xfId="63" applyNumberFormat="1" applyFont="1" applyFill="1" applyBorder="1"/>
    <xf numFmtId="165" fontId="29" fillId="0" borderId="22" xfId="56" applyNumberFormat="1" applyFont="1" applyFill="1" applyBorder="1" applyAlignment="1">
      <alignment vertical="top"/>
    </xf>
    <xf numFmtId="43" fontId="50" fillId="0" borderId="0" xfId="56" applyNumberFormat="1" applyFont="1"/>
    <xf numFmtId="165" fontId="50" fillId="60" borderId="0" xfId="56" applyNumberFormat="1" applyFont="1" applyFill="1"/>
    <xf numFmtId="165" fontId="50" fillId="0" borderId="0" xfId="56" applyNumberFormat="1" applyFont="1" applyFill="1"/>
    <xf numFmtId="165" fontId="79" fillId="60" borderId="0" xfId="56" applyNumberFormat="1" applyFont="1" applyFill="1"/>
    <xf numFmtId="165" fontId="44" fillId="0" borderId="0" xfId="61" applyNumberFormat="1" applyFont="1"/>
    <xf numFmtId="165" fontId="30" fillId="0" borderId="8" xfId="61" applyNumberFormat="1" applyFont="1" applyFill="1" applyBorder="1" applyAlignment="1">
      <alignment horizontal="center" vertical="center" wrapText="1"/>
    </xf>
    <xf numFmtId="165" fontId="44" fillId="0" borderId="0" xfId="61" applyNumberFormat="1" applyFont="1" applyAlignment="1">
      <alignment horizontal="center"/>
    </xf>
    <xf numFmtId="168" fontId="36" fillId="0" borderId="46" xfId="61" applyNumberFormat="1" applyFont="1" applyBorder="1" applyAlignment="1">
      <alignment horizontal="center"/>
    </xf>
    <xf numFmtId="43" fontId="36" fillId="0" borderId="46" xfId="61" applyNumberFormat="1" applyFont="1" applyBorder="1"/>
    <xf numFmtId="165" fontId="36" fillId="0" borderId="46" xfId="61" applyNumberFormat="1" applyFont="1" applyBorder="1"/>
    <xf numFmtId="168" fontId="36" fillId="0" borderId="0" xfId="61" applyNumberFormat="1" applyFont="1"/>
    <xf numFmtId="43" fontId="36" fillId="0" borderId="0" xfId="61" applyNumberFormat="1" applyFont="1"/>
    <xf numFmtId="43" fontId="36" fillId="0" borderId="29" xfId="61" applyNumberFormat="1" applyFont="1" applyBorder="1"/>
    <xf numFmtId="43" fontId="44" fillId="0" borderId="22" xfId="61" applyNumberFormat="1" applyFont="1" applyBorder="1"/>
    <xf numFmtId="165" fontId="44" fillId="0" borderId="22" xfId="61" applyNumberFormat="1" applyFont="1" applyBorder="1"/>
    <xf numFmtId="37" fontId="36" fillId="0" borderId="0" xfId="120" applyFont="1" applyFill="1"/>
    <xf numFmtId="37" fontId="44" fillId="0" borderId="0" xfId="120" applyFont="1" applyFill="1" applyAlignment="1">
      <alignment horizontal="right"/>
    </xf>
    <xf numFmtId="37" fontId="44" fillId="0" borderId="0" xfId="120" applyFont="1" applyFill="1" applyAlignment="1">
      <alignment horizontal="center"/>
    </xf>
    <xf numFmtId="37" fontId="36" fillId="0" borderId="0" xfId="120" applyFont="1" applyFill="1" applyBorder="1"/>
    <xf numFmtId="37" fontId="44" fillId="0" borderId="0" xfId="120" quotePrefix="1" applyFont="1" applyFill="1" applyBorder="1" applyAlignment="1">
      <alignment horizontal="center" vertical="center"/>
    </xf>
    <xf numFmtId="37" fontId="36" fillId="0" borderId="0" xfId="120" applyFont="1" applyFill="1" applyBorder="1" applyAlignment="1">
      <alignment horizontal="justify" vertical="top" wrapText="1"/>
    </xf>
    <xf numFmtId="37" fontId="44" fillId="0" borderId="0" xfId="120" applyFont="1" applyFill="1" applyBorder="1" applyAlignment="1">
      <alignment horizontal="center" vertical="center"/>
    </xf>
    <xf numFmtId="37" fontId="36" fillId="0" borderId="0" xfId="120" applyNumberFormat="1" applyFont="1" applyFill="1" applyBorder="1" applyProtection="1"/>
    <xf numFmtId="37" fontId="44" fillId="0" borderId="0" xfId="120" quotePrefix="1" applyFont="1" applyFill="1" applyBorder="1" applyAlignment="1">
      <alignment horizontal="center"/>
    </xf>
    <xf numFmtId="37" fontId="44" fillId="0" borderId="0" xfId="120" applyFont="1" applyFill="1" applyBorder="1" applyAlignment="1">
      <alignment horizontal="center"/>
    </xf>
    <xf numFmtId="9" fontId="44" fillId="0" borderId="0" xfId="128" quotePrefix="1" applyFont="1" applyFill="1" applyBorder="1" applyAlignment="1">
      <alignment horizontal="center"/>
    </xf>
    <xf numFmtId="9" fontId="44" fillId="0" borderId="0" xfId="128" applyFont="1" applyFill="1" applyBorder="1" applyAlignment="1">
      <alignment horizontal="center"/>
    </xf>
    <xf numFmtId="37" fontId="36" fillId="0" borderId="0" xfId="120" quotePrefix="1" applyFont="1" applyFill="1" applyBorder="1" applyAlignment="1"/>
    <xf numFmtId="37" fontId="36" fillId="0" borderId="0" xfId="120" quotePrefix="1" applyFont="1" applyFill="1" applyBorder="1" applyAlignment="1">
      <alignment horizontal="center"/>
    </xf>
    <xf numFmtId="165" fontId="36" fillId="0" borderId="0" xfId="61" quotePrefix="1" applyNumberFormat="1" applyFont="1" applyFill="1" applyBorder="1" applyAlignment="1">
      <alignment horizontal="center"/>
    </xf>
    <xf numFmtId="37" fontId="36" fillId="0" borderId="0" xfId="120" applyFont="1" applyFill="1" applyBorder="1" applyAlignment="1"/>
    <xf numFmtId="37" fontId="36" fillId="0" borderId="73" xfId="120" applyFont="1" applyFill="1" applyBorder="1"/>
    <xf numFmtId="165" fontId="36" fillId="0" borderId="73" xfId="61" applyNumberFormat="1" applyFont="1" applyFill="1" applyBorder="1"/>
    <xf numFmtId="165" fontId="23" fillId="0" borderId="0" xfId="61" applyNumberFormat="1" applyFont="1" applyFill="1" applyProtection="1"/>
    <xf numFmtId="37" fontId="44" fillId="0" borderId="0" xfId="120" applyFont="1" applyFill="1" applyBorder="1"/>
    <xf numFmtId="165" fontId="36" fillId="0" borderId="0" xfId="61" applyNumberFormat="1" applyFont="1" applyFill="1" applyBorder="1"/>
    <xf numFmtId="37" fontId="36" fillId="0" borderId="73" xfId="120" applyNumberFormat="1" applyFont="1" applyFill="1" applyBorder="1" applyProtection="1"/>
    <xf numFmtId="43" fontId="36" fillId="0" borderId="0" xfId="61" applyFont="1" applyFill="1" applyBorder="1"/>
    <xf numFmtId="37" fontId="36" fillId="0" borderId="74" xfId="120" applyFont="1" applyFill="1" applyBorder="1"/>
    <xf numFmtId="43" fontId="36" fillId="0" borderId="73" xfId="61" applyFont="1" applyFill="1" applyBorder="1"/>
    <xf numFmtId="37" fontId="36" fillId="0" borderId="29" xfId="120" applyFont="1" applyFill="1" applyBorder="1"/>
    <xf numFmtId="37" fontId="36" fillId="0" borderId="74" xfId="120" applyNumberFormat="1" applyFont="1" applyFill="1" applyBorder="1" applyProtection="1"/>
    <xf numFmtId="37" fontId="36" fillId="0" borderId="71" xfId="120" applyFont="1" applyFill="1" applyBorder="1"/>
    <xf numFmtId="37" fontId="36" fillId="0" borderId="22" xfId="120" applyFont="1" applyFill="1" applyBorder="1"/>
    <xf numFmtId="43" fontId="36" fillId="0" borderId="71" xfId="61" applyFont="1" applyFill="1" applyBorder="1"/>
    <xf numFmtId="37" fontId="36" fillId="0" borderId="71" xfId="120" applyNumberFormat="1" applyFont="1" applyFill="1" applyBorder="1" applyProtection="1"/>
    <xf numFmtId="165" fontId="36" fillId="0" borderId="69" xfId="61" applyNumberFormat="1" applyFont="1" applyFill="1" applyBorder="1"/>
    <xf numFmtId="165" fontId="36" fillId="0" borderId="69" xfId="61" applyNumberFormat="1" applyFont="1" applyFill="1" applyBorder="1" applyProtection="1"/>
    <xf numFmtId="165" fontId="36" fillId="0" borderId="75" xfId="61" applyNumberFormat="1" applyFont="1" applyFill="1" applyBorder="1"/>
    <xf numFmtId="165" fontId="36" fillId="0" borderId="75" xfId="61" applyNumberFormat="1" applyFont="1" applyFill="1" applyBorder="1" applyProtection="1"/>
    <xf numFmtId="37" fontId="54" fillId="0" borderId="0" xfId="120" applyFont="1" applyFill="1" applyBorder="1" applyAlignment="1">
      <alignment horizontal="right"/>
    </xf>
    <xf numFmtId="165" fontId="36" fillId="0" borderId="70" xfId="61" applyNumberFormat="1" applyFont="1" applyFill="1" applyBorder="1"/>
    <xf numFmtId="37" fontId="44" fillId="0" borderId="73" xfId="115" applyFont="1" applyFill="1" applyBorder="1"/>
    <xf numFmtId="37" fontId="36" fillId="0" borderId="73" xfId="115" applyFont="1" applyFill="1" applyBorder="1"/>
    <xf numFmtId="37" fontId="36" fillId="0" borderId="69" xfId="120" applyFont="1" applyFill="1" applyBorder="1"/>
    <xf numFmtId="37" fontId="36" fillId="0" borderId="70" xfId="120" applyFont="1" applyFill="1" applyBorder="1"/>
    <xf numFmtId="165" fontId="36" fillId="0" borderId="0" xfId="61" applyNumberFormat="1" applyFont="1" applyFill="1"/>
    <xf numFmtId="165" fontId="36" fillId="0" borderId="0" xfId="61" applyNumberFormat="1" applyFont="1" applyFill="1" applyAlignment="1">
      <alignment horizontal="left" indent="7"/>
    </xf>
    <xf numFmtId="165" fontId="36" fillId="0" borderId="0" xfId="61" applyNumberFormat="1" applyFont="1" applyFill="1" applyAlignment="1">
      <alignment horizontal="left"/>
    </xf>
    <xf numFmtId="37" fontId="56" fillId="0" borderId="0" xfId="120" applyFont="1" applyFill="1"/>
    <xf numFmtId="37" fontId="44" fillId="0" borderId="0" xfId="120" applyFont="1" applyFill="1"/>
    <xf numFmtId="9" fontId="36" fillId="0" borderId="0" xfId="132" applyFont="1" applyFill="1"/>
    <xf numFmtId="37" fontId="36" fillId="0" borderId="0" xfId="120" applyFont="1" applyFill="1" applyAlignment="1">
      <alignment horizontal="center"/>
    </xf>
    <xf numFmtId="37" fontId="44" fillId="0" borderId="0" xfId="120" quotePrefix="1" applyFont="1" applyFill="1"/>
    <xf numFmtId="43" fontId="36" fillId="0" borderId="42" xfId="61" applyFont="1" applyFill="1" applyBorder="1"/>
    <xf numFmtId="37" fontId="36" fillId="0" borderId="0" xfId="120" quotePrefix="1" applyFont="1" applyFill="1"/>
    <xf numFmtId="37" fontId="36" fillId="58" borderId="0" xfId="120" applyFont="1" applyFill="1" applyBorder="1"/>
    <xf numFmtId="37" fontId="36" fillId="58" borderId="0" xfId="120" applyNumberFormat="1" applyFont="1" applyFill="1" applyBorder="1" applyProtection="1"/>
    <xf numFmtId="165" fontId="34" fillId="58" borderId="0" xfId="56" applyNumberFormat="1" applyFont="1" applyFill="1" applyProtection="1"/>
    <xf numFmtId="165" fontId="36" fillId="0" borderId="71" xfId="56" applyNumberFormat="1" applyFont="1" applyFill="1" applyBorder="1"/>
    <xf numFmtId="37" fontId="36" fillId="58" borderId="74" xfId="120" applyFont="1" applyFill="1" applyBorder="1"/>
    <xf numFmtId="165" fontId="36" fillId="58" borderId="71" xfId="56" applyNumberFormat="1" applyFont="1" applyFill="1" applyBorder="1" applyProtection="1"/>
    <xf numFmtId="37" fontId="36" fillId="58" borderId="71" xfId="120" applyNumberFormat="1" applyFont="1" applyFill="1" applyBorder="1" applyProtection="1"/>
    <xf numFmtId="165" fontId="36" fillId="58" borderId="71" xfId="61" applyNumberFormat="1" applyFont="1" applyFill="1" applyBorder="1" applyProtection="1"/>
    <xf numFmtId="37" fontId="0" fillId="58" borderId="8" xfId="0" applyFill="1" applyBorder="1"/>
    <xf numFmtId="37" fontId="36" fillId="0" borderId="29" xfId="105" applyFont="1" applyBorder="1"/>
    <xf numFmtId="165" fontId="36" fillId="0" borderId="47" xfId="56" applyNumberFormat="1" applyFont="1" applyBorder="1"/>
    <xf numFmtId="165" fontId="36" fillId="0" borderId="48" xfId="56" applyNumberFormat="1" applyFont="1" applyBorder="1"/>
    <xf numFmtId="165" fontId="36" fillId="0" borderId="29" xfId="56" applyNumberFormat="1" applyFont="1" applyBorder="1"/>
    <xf numFmtId="165" fontId="36" fillId="0" borderId="49" xfId="56" applyNumberFormat="1" applyFont="1" applyBorder="1"/>
    <xf numFmtId="165" fontId="36" fillId="0" borderId="44" xfId="56" applyNumberFormat="1" applyFont="1" applyBorder="1"/>
    <xf numFmtId="165" fontId="80" fillId="0" borderId="0" xfId="56" applyNumberFormat="1" applyFont="1" applyFill="1" applyAlignment="1">
      <alignment vertical="top"/>
    </xf>
    <xf numFmtId="37" fontId="25" fillId="0" borderId="0" xfId="115" applyFont="1" applyFill="1" applyAlignment="1"/>
    <xf numFmtId="37" fontId="23" fillId="0" borderId="0" xfId="115" applyFont="1" applyFill="1"/>
    <xf numFmtId="0" fontId="25" fillId="0" borderId="0" xfId="115" quotePrefix="1" applyNumberFormat="1" applyFont="1" applyFill="1" applyBorder="1" applyAlignment="1">
      <alignment horizontal="center" vertical="center"/>
    </xf>
    <xf numFmtId="0" fontId="23" fillId="0" borderId="0" xfId="115" applyNumberFormat="1" applyFont="1" applyFill="1" applyBorder="1" applyAlignment="1">
      <alignment horizontal="justify" vertical="top" wrapText="1"/>
    </xf>
    <xf numFmtId="37" fontId="25" fillId="0" borderId="0" xfId="115" applyFont="1" applyFill="1"/>
    <xf numFmtId="37" fontId="25" fillId="0" borderId="0" xfId="115" applyFont="1" applyFill="1" applyAlignment="1">
      <alignment horizontal="center"/>
    </xf>
    <xf numFmtId="0" fontId="25" fillId="0" borderId="0" xfId="115" applyNumberFormat="1" applyFont="1" applyFill="1" applyBorder="1" applyAlignment="1">
      <alignment horizontal="center" vertical="center"/>
    </xf>
    <xf numFmtId="0" fontId="23" fillId="0" borderId="0" xfId="115" applyNumberFormat="1" applyFont="1" applyFill="1" applyBorder="1"/>
    <xf numFmtId="37" fontId="23" fillId="0" borderId="0" xfId="115" quotePrefix="1" applyFont="1" applyFill="1"/>
    <xf numFmtId="165" fontId="23" fillId="0" borderId="0" xfId="58" applyNumberFormat="1" applyFont="1" applyFill="1" applyBorder="1"/>
    <xf numFmtId="37" fontId="23" fillId="0" borderId="0" xfId="115" applyFont="1" applyFill="1" applyAlignment="1">
      <alignment horizontal="center"/>
    </xf>
    <xf numFmtId="165" fontId="23" fillId="0" borderId="69" xfId="58" applyNumberFormat="1" applyFont="1" applyFill="1" applyBorder="1"/>
    <xf numFmtId="165" fontId="23" fillId="0" borderId="75" xfId="58" applyNumberFormat="1" applyFont="1" applyFill="1" applyBorder="1"/>
    <xf numFmtId="165" fontId="23" fillId="0" borderId="70" xfId="58" applyNumberFormat="1" applyFont="1" applyFill="1" applyBorder="1"/>
    <xf numFmtId="37" fontId="25" fillId="0" borderId="0" xfId="115" quotePrefix="1" applyFont="1" applyFill="1" applyAlignment="1">
      <alignment horizontal="center"/>
    </xf>
    <xf numFmtId="37" fontId="23" fillId="0" borderId="0" xfId="115" quotePrefix="1" applyFont="1" applyFill="1" applyAlignment="1">
      <alignment horizontal="center"/>
    </xf>
    <xf numFmtId="165" fontId="23" fillId="0" borderId="13" xfId="58" applyNumberFormat="1" applyFont="1" applyFill="1" applyBorder="1"/>
    <xf numFmtId="165" fontId="23" fillId="0" borderId="21" xfId="58" applyNumberFormat="1" applyFont="1" applyFill="1" applyBorder="1"/>
    <xf numFmtId="37" fontId="25" fillId="0" borderId="0" xfId="115" applyFont="1" applyFill="1" applyAlignment="1">
      <alignment horizontal="left" vertical="top"/>
    </xf>
    <xf numFmtId="165" fontId="23" fillId="0" borderId="0" xfId="58" applyNumberFormat="1" applyFont="1" applyFill="1"/>
    <xf numFmtId="37" fontId="23" fillId="0" borderId="0" xfId="115" applyFont="1" applyFill="1" applyAlignment="1">
      <alignment horizontal="left" indent="2"/>
    </xf>
    <xf numFmtId="165" fontId="23" fillId="0" borderId="23" xfId="58" applyNumberFormat="1" applyFont="1" applyFill="1" applyBorder="1"/>
    <xf numFmtId="37" fontId="23" fillId="0" borderId="0" xfId="115" applyFont="1" applyFill="1" applyBorder="1" applyAlignment="1">
      <alignment horizontal="center"/>
    </xf>
    <xf numFmtId="165" fontId="25" fillId="0" borderId="0" xfId="58" applyNumberFormat="1" applyFont="1" applyFill="1"/>
    <xf numFmtId="171" fontId="23" fillId="0" borderId="0" xfId="115" applyNumberFormat="1" applyFont="1" applyFill="1"/>
    <xf numFmtId="37" fontId="25" fillId="0" borderId="0" xfId="115" quotePrefix="1" applyFont="1" applyFill="1"/>
    <xf numFmtId="37" fontId="23" fillId="0" borderId="0" xfId="115" applyFont="1" applyFill="1" applyAlignment="1">
      <alignment vertical="justify" wrapText="1"/>
    </xf>
    <xf numFmtId="37" fontId="23" fillId="0" borderId="0" xfId="115" applyFont="1" applyFill="1" applyAlignment="1">
      <alignment horizontal="left"/>
    </xf>
    <xf numFmtId="165" fontId="29" fillId="0" borderId="0" xfId="56" applyNumberFormat="1" applyFont="1" applyFill="1" applyBorder="1" applyAlignment="1">
      <alignment horizontal="center" vertical="top"/>
    </xf>
    <xf numFmtId="0" fontId="25" fillId="0" borderId="30" xfId="105" quotePrefix="1" applyNumberFormat="1" applyFont="1" applyFill="1" applyBorder="1" applyAlignment="1">
      <alignment horizontal="center"/>
    </xf>
    <xf numFmtId="165" fontId="51" fillId="57" borderId="50" xfId="56" applyNumberFormat="1" applyFont="1" applyFill="1" applyBorder="1" applyAlignment="1">
      <alignment horizontal="center"/>
    </xf>
    <xf numFmtId="165" fontId="51" fillId="57" borderId="51" xfId="56" applyNumberFormat="1" applyFont="1" applyFill="1" applyBorder="1" applyAlignment="1">
      <alignment horizontal="center"/>
    </xf>
    <xf numFmtId="37" fontId="51" fillId="57" borderId="52" xfId="0" applyFont="1" applyFill="1" applyBorder="1" applyAlignment="1">
      <alignment horizontal="center"/>
    </xf>
    <xf numFmtId="37" fontId="51" fillId="57" borderId="53" xfId="0" applyFont="1" applyFill="1" applyBorder="1" applyAlignment="1">
      <alignment horizontal="center"/>
    </xf>
    <xf numFmtId="37" fontId="51" fillId="57" borderId="50" xfId="0" applyFont="1" applyFill="1" applyBorder="1" applyAlignment="1">
      <alignment horizontal="center"/>
    </xf>
    <xf numFmtId="37" fontId="51" fillId="57" borderId="31" xfId="0" applyFont="1" applyFill="1" applyBorder="1" applyAlignment="1">
      <alignment horizontal="center"/>
    </xf>
    <xf numFmtId="37" fontId="23" fillId="57" borderId="50" xfId="0" applyFont="1" applyFill="1" applyBorder="1" applyAlignment="1">
      <alignment horizontal="center"/>
    </xf>
    <xf numFmtId="37" fontId="23" fillId="57" borderId="51" xfId="0" applyFont="1" applyFill="1" applyBorder="1" applyAlignment="1">
      <alignment horizontal="center"/>
    </xf>
    <xf numFmtId="37" fontId="23" fillId="57" borderId="45" xfId="0" applyFont="1" applyFill="1" applyBorder="1" applyAlignment="1">
      <alignment horizontal="center"/>
    </xf>
    <xf numFmtId="37" fontId="23" fillId="57" borderId="50" xfId="0" applyFont="1" applyFill="1" applyBorder="1" applyAlignment="1">
      <alignment horizontal="left"/>
    </xf>
    <xf numFmtId="37" fontId="23" fillId="57" borderId="31" xfId="0" applyFont="1" applyFill="1" applyBorder="1" applyAlignment="1">
      <alignment horizontal="left"/>
    </xf>
    <xf numFmtId="37" fontId="23" fillId="57" borderId="52" xfId="0" applyFont="1" applyFill="1" applyBorder="1" applyAlignment="1">
      <alignment horizontal="center" wrapText="1"/>
    </xf>
    <xf numFmtId="37" fontId="23" fillId="57" borderId="53" xfId="0" applyFont="1" applyFill="1" applyBorder="1" applyAlignment="1">
      <alignment horizontal="center" wrapText="1"/>
    </xf>
    <xf numFmtId="37" fontId="23" fillId="0" borderId="0" xfId="0" applyFont="1" applyBorder="1" applyAlignment="1">
      <alignment horizontal="center" wrapText="1"/>
    </xf>
    <xf numFmtId="37" fontId="23" fillId="0" borderId="0" xfId="115" applyFont="1" applyFill="1" applyAlignment="1">
      <alignment horizontal="left"/>
    </xf>
    <xf numFmtId="37" fontId="25" fillId="0" borderId="0" xfId="122" applyNumberFormat="1" applyFont="1" applyFill="1" applyAlignment="1">
      <alignment horizontal="center"/>
    </xf>
    <xf numFmtId="165" fontId="28" fillId="0" borderId="0" xfId="56" applyNumberFormat="1" applyFont="1" applyAlignment="1">
      <alignment horizontal="center"/>
    </xf>
    <xf numFmtId="165" fontId="28" fillId="0" borderId="25" xfId="56" applyNumberFormat="1" applyFont="1" applyBorder="1" applyAlignment="1">
      <alignment horizontal="center" vertical="center" wrapText="1"/>
    </xf>
    <xf numFmtId="165" fontId="0" fillId="0" borderId="27" xfId="56" applyNumberFormat="1" applyFont="1" applyBorder="1" applyAlignment="1">
      <alignment horizontal="center" vertical="center" wrapText="1"/>
    </xf>
    <xf numFmtId="37" fontId="44" fillId="0" borderId="0" xfId="105" applyFont="1" applyAlignment="1">
      <alignment horizontal="center"/>
    </xf>
    <xf numFmtId="37" fontId="25" fillId="0" borderId="76" xfId="105" applyNumberFormat="1" applyFont="1" applyBorder="1" applyAlignment="1" applyProtection="1">
      <alignment horizontal="center"/>
    </xf>
    <xf numFmtId="37" fontId="25" fillId="0" borderId="66" xfId="105" applyNumberFormat="1" applyFont="1" applyBorder="1" applyAlignment="1" applyProtection="1">
      <alignment horizontal="center"/>
    </xf>
    <xf numFmtId="37" fontId="25" fillId="0" borderId="16" xfId="105" applyNumberFormat="1" applyFont="1" applyBorder="1" applyAlignment="1" applyProtection="1">
      <alignment horizontal="center" vertical="center" wrapText="1"/>
    </xf>
    <xf numFmtId="37" fontId="33" fillId="0" borderId="19" xfId="105" applyBorder="1" applyAlignment="1">
      <alignment horizontal="center" vertical="center" wrapText="1"/>
    </xf>
    <xf numFmtId="37" fontId="25" fillId="0" borderId="65" xfId="105" applyNumberFormat="1" applyFont="1" applyBorder="1" applyAlignment="1" applyProtection="1">
      <alignment horizontal="center" vertical="center" wrapText="1"/>
    </xf>
    <xf numFmtId="37" fontId="33" fillId="0" borderId="19" xfId="105" applyBorder="1" applyAlignment="1">
      <alignment horizontal="center" wrapText="1"/>
    </xf>
    <xf numFmtId="37" fontId="30" fillId="0" borderId="0" xfId="105" applyFont="1" applyFill="1" applyAlignment="1">
      <alignment horizontal="left" vertical="top" wrapText="1"/>
    </xf>
    <xf numFmtId="37" fontId="30" fillId="0" borderId="0" xfId="105" quotePrefix="1" applyFont="1" applyFill="1" applyAlignment="1">
      <alignment horizontal="left" vertical="top" wrapText="1"/>
    </xf>
    <xf numFmtId="164" fontId="29" fillId="0" borderId="0" xfId="56" applyNumberFormat="1" applyFont="1" applyFill="1" applyAlignment="1">
      <alignment horizontal="left" vertical="top" wrapText="1"/>
    </xf>
    <xf numFmtId="37" fontId="29" fillId="0" borderId="0" xfId="105" applyFont="1" applyFill="1" applyAlignment="1">
      <alignment horizontal="justify" vertical="top" wrapText="1"/>
    </xf>
    <xf numFmtId="37" fontId="0" fillId="0" borderId="0" xfId="0" applyFill="1" applyAlignment="1">
      <alignment horizontal="justify" vertical="top" wrapText="1"/>
    </xf>
    <xf numFmtId="37" fontId="29" fillId="0" borderId="0" xfId="0" applyFont="1" applyFill="1" applyAlignment="1">
      <alignment horizontal="left" vertical="top" wrapText="1"/>
    </xf>
    <xf numFmtId="37" fontId="31" fillId="0" borderId="0" xfId="105" applyNumberFormat="1" applyFont="1" applyFill="1" applyAlignment="1" applyProtection="1">
      <alignment horizontal="justify" vertical="top" wrapText="1"/>
    </xf>
    <xf numFmtId="0" fontId="37" fillId="0" borderId="0" xfId="0" applyNumberFormat="1" applyFont="1" applyFill="1" applyAlignment="1">
      <alignment horizontal="center" vertical="top" wrapText="1"/>
    </xf>
    <xf numFmtId="37" fontId="29" fillId="0" borderId="0" xfId="105" applyFont="1" applyFill="1" applyAlignment="1">
      <alignment horizontal="left" vertical="top" wrapText="1"/>
    </xf>
    <xf numFmtId="37" fontId="23" fillId="0" borderId="0" xfId="0" applyFont="1" applyAlignment="1">
      <alignment horizontal="left" wrapText="1"/>
    </xf>
    <xf numFmtId="37" fontId="44" fillId="0" borderId="0" xfId="120" quotePrefix="1" applyFont="1" applyFill="1" applyBorder="1" applyAlignment="1">
      <alignment horizontal="center"/>
    </xf>
    <xf numFmtId="37" fontId="44" fillId="0" borderId="0" xfId="120" applyFont="1" applyFill="1" applyBorder="1" applyAlignment="1">
      <alignment horizontal="center"/>
    </xf>
    <xf numFmtId="37" fontId="44" fillId="0" borderId="0" xfId="120" applyFont="1" applyFill="1" applyAlignment="1">
      <alignment horizontal="center"/>
    </xf>
    <xf numFmtId="37" fontId="44" fillId="0" borderId="0" xfId="120" applyFont="1" applyFill="1" applyBorder="1" applyAlignment="1">
      <alignment horizontal="center" vertical="center"/>
    </xf>
    <xf numFmtId="37" fontId="44" fillId="0" borderId="0" xfId="120" applyFont="1" applyFill="1" applyBorder="1" applyAlignment="1">
      <alignment horizontal="center" vertical="center" wrapText="1"/>
    </xf>
    <xf numFmtId="37" fontId="41" fillId="0" borderId="0" xfId="110" applyNumberFormat="1" applyFont="1" applyAlignment="1" applyProtection="1">
      <alignment horizontal="center"/>
    </xf>
    <xf numFmtId="37" fontId="41" fillId="0" borderId="18" xfId="110" applyNumberFormat="1" applyFont="1" applyBorder="1" applyAlignment="1" applyProtection="1">
      <alignment horizontal="center" vertical="center" wrapText="1"/>
    </xf>
    <xf numFmtId="37" fontId="41" fillId="0" borderId="24" xfId="110" applyFont="1" applyBorder="1" applyAlignment="1">
      <alignment horizontal="center" vertical="center" wrapText="1"/>
    </xf>
    <xf numFmtId="37" fontId="41" fillId="0" borderId="17" xfId="110" applyFont="1" applyBorder="1" applyAlignment="1">
      <alignment horizontal="center" vertical="center" wrapText="1"/>
    </xf>
    <xf numFmtId="37" fontId="41" fillId="0" borderId="54" xfId="110" applyFont="1" applyBorder="1" applyAlignment="1">
      <alignment horizontal="center" vertical="center" wrapText="1"/>
    </xf>
    <xf numFmtId="37" fontId="41" fillId="0" borderId="20" xfId="110" applyFont="1" applyBorder="1" applyAlignment="1">
      <alignment horizontal="center" vertical="center" wrapText="1"/>
    </xf>
    <xf numFmtId="37" fontId="41" fillId="0" borderId="55" xfId="110" applyFont="1" applyBorder="1" applyAlignment="1">
      <alignment horizontal="center" vertical="center" wrapText="1"/>
    </xf>
    <xf numFmtId="37" fontId="39" fillId="0" borderId="15" xfId="110" applyNumberFormat="1" applyFont="1" applyBorder="1" applyAlignment="1" applyProtection="1">
      <alignment horizontal="center" vertical="center" wrapText="1"/>
    </xf>
    <xf numFmtId="37" fontId="43" fillId="0" borderId="16" xfId="110" applyFont="1" applyBorder="1" applyAlignment="1">
      <alignment horizontal="center" vertical="center" wrapText="1"/>
    </xf>
    <xf numFmtId="37" fontId="43" fillId="0" borderId="19" xfId="110" applyFont="1" applyBorder="1" applyAlignment="1">
      <alignment horizontal="center" vertical="center" wrapText="1"/>
    </xf>
    <xf numFmtId="37" fontId="43" fillId="0" borderId="15" xfId="110" applyNumberFormat="1" applyFont="1" applyBorder="1" applyAlignment="1" applyProtection="1">
      <alignment horizontal="center" vertical="center" wrapText="1"/>
    </xf>
    <xf numFmtId="37" fontId="26" fillId="0" borderId="18" xfId="110" applyNumberFormat="1" applyFont="1" applyFill="1" applyBorder="1" applyAlignment="1" applyProtection="1">
      <alignment horizontal="center" wrapText="1"/>
    </xf>
    <xf numFmtId="37" fontId="39" fillId="0" borderId="13" xfId="110" applyBorder="1"/>
    <xf numFmtId="37" fontId="39" fillId="0" borderId="24" xfId="110" applyBorder="1"/>
    <xf numFmtId="37" fontId="39" fillId="0" borderId="20" xfId="110" applyBorder="1"/>
    <xf numFmtId="37" fontId="39" fillId="0" borderId="23" xfId="110" applyBorder="1"/>
    <xf numFmtId="37" fontId="39" fillId="0" borderId="55" xfId="110" applyBorder="1"/>
    <xf numFmtId="37" fontId="39" fillId="0" borderId="15" xfId="110" applyNumberFormat="1" applyBorder="1" applyAlignment="1" applyProtection="1">
      <alignment horizontal="center" vertical="center"/>
    </xf>
    <xf numFmtId="37" fontId="39" fillId="0" borderId="19" xfId="110" applyNumberFormat="1" applyBorder="1" applyAlignment="1" applyProtection="1">
      <alignment horizontal="center" vertical="center"/>
    </xf>
    <xf numFmtId="165" fontId="0" fillId="0" borderId="15" xfId="56" applyNumberFormat="1" applyFont="1" applyBorder="1" applyAlignment="1" applyProtection="1">
      <alignment horizontal="center" vertical="center"/>
    </xf>
    <xf numFmtId="165" fontId="0" fillId="0" borderId="19" xfId="56" applyNumberFormat="1" applyFont="1" applyBorder="1" applyAlignment="1" applyProtection="1">
      <alignment horizontal="center" vertical="center"/>
    </xf>
  </cellXfs>
  <cellStyles count="140">
    <cellStyle name="20% - Accent1" xfId="1" builtinId="30" customBuiltin="1"/>
    <cellStyle name="20% - Accent1 2" xfId="2"/>
    <cellStyle name="20% - Accent2" xfId="3" builtinId="34" customBuiltin="1"/>
    <cellStyle name="20% - Accent2 2" xfId="4"/>
    <cellStyle name="20% - Accent3" xfId="5" builtinId="38" customBuiltin="1"/>
    <cellStyle name="20% - Accent3 2" xfId="6"/>
    <cellStyle name="20% - Accent4" xfId="7" builtinId="42" customBuiltin="1"/>
    <cellStyle name="20% - Accent4 2" xfId="8"/>
    <cellStyle name="20% - Accent5" xfId="9" builtinId="46" customBuiltin="1"/>
    <cellStyle name="20% - Accent5 2" xfId="10"/>
    <cellStyle name="20% - Accent6" xfId="11" builtinId="50" customBuiltin="1"/>
    <cellStyle name="20% - Accent6 2" xfId="12"/>
    <cellStyle name="40% - Accent1" xfId="13" builtinId="31" customBuiltin="1"/>
    <cellStyle name="40% - Accent1 2" xfId="14"/>
    <cellStyle name="40% - Accent2" xfId="15" builtinId="35" customBuiltin="1"/>
    <cellStyle name="40% - Accent2 2" xfId="16"/>
    <cellStyle name="40% - Accent3" xfId="17" builtinId="39" customBuiltin="1"/>
    <cellStyle name="40% - Accent3 2" xfId="18"/>
    <cellStyle name="40% - Accent4" xfId="19" builtinId="43" customBuiltin="1"/>
    <cellStyle name="40% - Accent4 2" xfId="20"/>
    <cellStyle name="40% - Accent5" xfId="21" builtinId="47" customBuiltin="1"/>
    <cellStyle name="40% - Accent5 2" xfId="22"/>
    <cellStyle name="40% - Accent6" xfId="23" builtinId="51" customBuiltin="1"/>
    <cellStyle name="40% - Accent6 2" xfId="24"/>
    <cellStyle name="60% - Accent1" xfId="25" builtinId="32" customBuiltin="1"/>
    <cellStyle name="60% - Accent1 2" xfId="26"/>
    <cellStyle name="60% - Accent2" xfId="27" builtinId="36" customBuiltin="1"/>
    <cellStyle name="60% - Accent2 2" xfId="28"/>
    <cellStyle name="60% - Accent3" xfId="29" builtinId="40" customBuiltin="1"/>
    <cellStyle name="60% - Accent3 2" xfId="30"/>
    <cellStyle name="60% - Accent4" xfId="31" builtinId="44" customBuiltin="1"/>
    <cellStyle name="60% - Accent4 2" xfId="32"/>
    <cellStyle name="60% - Accent5" xfId="33" builtinId="48" customBuiltin="1"/>
    <cellStyle name="60% - Accent5 2" xfId="34"/>
    <cellStyle name="60% - Accent6" xfId="35" builtinId="52" customBuiltin="1"/>
    <cellStyle name="60% - Accent6 2" xfId="36"/>
    <cellStyle name="Accent1" xfId="37" builtinId="29" customBuiltin="1"/>
    <cellStyle name="Accent1 2" xfId="38"/>
    <cellStyle name="Accent2" xfId="39" builtinId="33" customBuiltin="1"/>
    <cellStyle name="Accent2 2" xfId="40"/>
    <cellStyle name="Accent3" xfId="41" builtinId="37" customBuiltin="1"/>
    <cellStyle name="Accent3 2" xfId="42"/>
    <cellStyle name="Accent4" xfId="43" builtinId="41" customBuiltin="1"/>
    <cellStyle name="Accent4 2" xfId="44"/>
    <cellStyle name="Accent5" xfId="45" builtinId="45" customBuiltin="1"/>
    <cellStyle name="Accent5 2" xfId="46"/>
    <cellStyle name="Accent6" xfId="47" builtinId="49" customBuiltin="1"/>
    <cellStyle name="Accent6 2" xfId="48"/>
    <cellStyle name="active" xfId="49"/>
    <cellStyle name="Bad" xfId="50" builtinId="27" customBuiltin="1"/>
    <cellStyle name="Bad 2" xfId="51"/>
    <cellStyle name="Calculation" xfId="52" builtinId="22" customBuiltin="1"/>
    <cellStyle name="Calculation 2" xfId="53"/>
    <cellStyle name="Check Cell" xfId="54" builtinId="23" customBuiltin="1"/>
    <cellStyle name="Check Cell 2" xfId="55"/>
    <cellStyle name="Comma" xfId="56" builtinId="3"/>
    <cellStyle name="Comma 2" xfId="57"/>
    <cellStyle name="Comma 2 2" xfId="58"/>
    <cellStyle name="Comma 2 3" xfId="59"/>
    <cellStyle name="Comma 2 4" xfId="60"/>
    <cellStyle name="Comma 3" xfId="61"/>
    <cellStyle name="Comma 3 2" xfId="62"/>
    <cellStyle name="Comma 4" xfId="63"/>
    <cellStyle name="Comma 4 2" xfId="64"/>
    <cellStyle name="Comma 5" xfId="65"/>
    <cellStyle name="Comma 5 2" xfId="66"/>
    <cellStyle name="Comma 6" xfId="67"/>
    <cellStyle name="Comma 7" xfId="68"/>
    <cellStyle name="Comma 8" xfId="69"/>
    <cellStyle name="Euro" xfId="70"/>
    <cellStyle name="Explanatory Text" xfId="71" builtinId="53" customBuiltin="1"/>
    <cellStyle name="Explanatory Text 2" xfId="72"/>
    <cellStyle name="Good" xfId="73" builtinId="26" customBuiltin="1"/>
    <cellStyle name="Good 2" xfId="74"/>
    <cellStyle name="Grey" xfId="75"/>
    <cellStyle name="Header1" xfId="76"/>
    <cellStyle name="Header2" xfId="77"/>
    <cellStyle name="Heading 1" xfId="78" builtinId="16" customBuiltin="1"/>
    <cellStyle name="Heading 1 2" xfId="79"/>
    <cellStyle name="Heading 2" xfId="80" builtinId="17" customBuiltin="1"/>
    <cellStyle name="Heading 2 2" xfId="81"/>
    <cellStyle name="Heading 3" xfId="82" builtinId="18" customBuiltin="1"/>
    <cellStyle name="Heading 3 2" xfId="83"/>
    <cellStyle name="Heading 4" xfId="84" builtinId="19" customBuiltin="1"/>
    <cellStyle name="Heading 4 2" xfId="85"/>
    <cellStyle name="Input" xfId="86" builtinId="20" customBuiltin="1"/>
    <cellStyle name="Input [yellow]" xfId="87"/>
    <cellStyle name="Input 2" xfId="88"/>
    <cellStyle name="Linked Cell" xfId="89" builtinId="24" customBuiltin="1"/>
    <cellStyle name="Linked Cell 2" xfId="90"/>
    <cellStyle name="Neutral" xfId="91" builtinId="28" customBuiltin="1"/>
    <cellStyle name="Neutral 2" xfId="92"/>
    <cellStyle name="Normal" xfId="0" builtinId="0"/>
    <cellStyle name="Normal - Style1" xfId="93"/>
    <cellStyle name="Normal 10" xfId="94"/>
    <cellStyle name="Normal 11" xfId="95"/>
    <cellStyle name="Normal 12" xfId="96"/>
    <cellStyle name="Normal 12 3" xfId="97"/>
    <cellStyle name="Normal 13" xfId="98"/>
    <cellStyle name="Normal 14" xfId="99"/>
    <cellStyle name="Normal 15" xfId="100"/>
    <cellStyle name="Normal 16" xfId="101"/>
    <cellStyle name="Normal 17" xfId="102"/>
    <cellStyle name="Normal 18" xfId="103"/>
    <cellStyle name="Normal 19" xfId="104"/>
    <cellStyle name="Normal 2" xfId="105"/>
    <cellStyle name="Normal 2 2" xfId="106"/>
    <cellStyle name="Normal 2 3" xfId="107"/>
    <cellStyle name="Normal 20" xfId="108"/>
    <cellStyle name="Normal 21" xfId="109"/>
    <cellStyle name="Normal 3" xfId="110"/>
    <cellStyle name="Normal 3 2" xfId="111"/>
    <cellStyle name="Normal 4" xfId="112"/>
    <cellStyle name="Normal 4 2" xfId="113"/>
    <cellStyle name="Normal 4 2 2 2" xfId="114"/>
    <cellStyle name="Normal 5" xfId="115"/>
    <cellStyle name="Normal 6" xfId="116"/>
    <cellStyle name="Normal 7" xfId="117"/>
    <cellStyle name="Normal 8" xfId="118"/>
    <cellStyle name="Normal 9" xfId="119"/>
    <cellStyle name="Normal_ABM SECURITIES PVT LTD_10" xfId="120"/>
    <cellStyle name="Normal_ANGORA TXTILE LIMITED-07" xfId="121"/>
    <cellStyle name="Normal_CANOPIES INTERNATIONAL (PVT) LTD" xfId="122"/>
    <cellStyle name="Note" xfId="123" builtinId="10" customBuiltin="1"/>
    <cellStyle name="Note 2" xfId="124"/>
    <cellStyle name="Output" xfId="125" builtinId="21" customBuiltin="1"/>
    <cellStyle name="Output 2" xfId="126"/>
    <cellStyle name="Percent [2]" xfId="127"/>
    <cellStyle name="Percent 2" xfId="128"/>
    <cellStyle name="Percent 2 2" xfId="129"/>
    <cellStyle name="Percent 2 3" xfId="130"/>
    <cellStyle name="Percent 2 4" xfId="131"/>
    <cellStyle name="Percent 3" xfId="132"/>
    <cellStyle name="Style 1" xfId="133"/>
    <cellStyle name="Title" xfId="134" builtinId="15" customBuiltin="1"/>
    <cellStyle name="Title 2" xfId="135"/>
    <cellStyle name="Total" xfId="136" builtinId="25" customBuiltin="1"/>
    <cellStyle name="Total 2" xfId="137"/>
    <cellStyle name="Warning Text" xfId="138" builtinId="11" customBuiltin="1"/>
    <cellStyle name="Warning Text 2" xfId="13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5.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ACCOUNTS12\Audit%202004\Audit\AUDIT%202000\Accounts0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CCOUNTS12\Audit%202004\WINDOWS\Desktop\Share\DOCUME~1\gmustafa\LOCALS~1\Temp\Lead%20Schedules%20IAE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m/Desktop/GULREZ%20SECURITIES_15-2003%20forma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aqvi-pc\abc\My%20Documents\Audit\amc\amc\EXCEL\ACCOUNTS\2007\ABM%20SECURITIES%20PVT%20LTD_07.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Reception02-pc\d\EXCEL\ACCOUNTS\2012\ARIF%20LATIF%20SECURITIES%20PVT%20LTD_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nt Copy"/>
      <sheetName val="ACC 2000"/>
      <sheetName val="JV"/>
      <sheetName val="Trial"/>
      <sheetName val="FA Sch 2000"/>
    </sheetNames>
    <sheetDataSet>
      <sheetData sheetId="0"/>
      <sheetData sheetId="1"/>
      <sheetData sheetId="2"/>
      <sheetData sheetId="3">
        <row r="25">
          <cell r="D25">
            <v>19603</v>
          </cell>
        </row>
        <row r="69">
          <cell r="D69">
            <v>87500</v>
          </cell>
        </row>
        <row r="70">
          <cell r="D70">
            <v>200000</v>
          </cell>
        </row>
        <row r="71">
          <cell r="D71">
            <v>7385</v>
          </cell>
        </row>
        <row r="72">
          <cell r="D72">
            <v>25789</v>
          </cell>
        </row>
        <row r="73">
          <cell r="D73">
            <v>536748</v>
          </cell>
        </row>
        <row r="74">
          <cell r="D74">
            <v>113772</v>
          </cell>
        </row>
        <row r="75">
          <cell r="D75">
            <v>358024</v>
          </cell>
        </row>
        <row r="76">
          <cell r="D76">
            <v>54272</v>
          </cell>
        </row>
        <row r="77">
          <cell r="D77">
            <v>31239</v>
          </cell>
        </row>
        <row r="78">
          <cell r="D78">
            <v>1511</v>
          </cell>
        </row>
        <row r="79">
          <cell r="D79">
            <v>5300</v>
          </cell>
        </row>
        <row r="80">
          <cell r="D80">
            <v>46823</v>
          </cell>
        </row>
        <row r="81">
          <cell r="D81">
            <v>16543</v>
          </cell>
        </row>
        <row r="82">
          <cell r="D82">
            <v>29736</v>
          </cell>
        </row>
        <row r="83">
          <cell r="D83">
            <v>203850</v>
          </cell>
        </row>
        <row r="84">
          <cell r="D84">
            <v>970</v>
          </cell>
        </row>
        <row r="85">
          <cell r="D85">
            <v>37042</v>
          </cell>
        </row>
        <row r="86">
          <cell r="D86">
            <v>51321</v>
          </cell>
        </row>
        <row r="87">
          <cell r="D87">
            <v>2301</v>
          </cell>
        </row>
        <row r="88">
          <cell r="D88">
            <v>70000</v>
          </cell>
        </row>
        <row r="89">
          <cell r="D89">
            <v>12374</v>
          </cell>
        </row>
        <row r="90">
          <cell r="D90">
            <v>9544</v>
          </cell>
        </row>
        <row r="91">
          <cell r="D91">
            <v>1800</v>
          </cell>
        </row>
        <row r="92">
          <cell r="D92">
            <v>20151</v>
          </cell>
        </row>
        <row r="93">
          <cell r="D93">
            <v>10684</v>
          </cell>
        </row>
        <row r="94">
          <cell r="D94">
            <v>14507</v>
          </cell>
        </row>
        <row r="96">
          <cell r="D96">
            <v>126586</v>
          </cell>
        </row>
        <row r="97">
          <cell r="D97">
            <v>127280</v>
          </cell>
        </row>
        <row r="98">
          <cell r="D98">
            <v>127581</v>
          </cell>
        </row>
        <row r="99">
          <cell r="D99">
            <v>25540</v>
          </cell>
        </row>
        <row r="101">
          <cell r="D101">
            <v>2680</v>
          </cell>
        </row>
        <row r="102">
          <cell r="D102">
            <v>550</v>
          </cell>
        </row>
        <row r="105">
          <cell r="D105">
            <v>5815</v>
          </cell>
        </row>
        <row r="106">
          <cell r="D106">
            <v>22194</v>
          </cell>
        </row>
        <row r="107">
          <cell r="D107">
            <v>30680</v>
          </cell>
        </row>
        <row r="117">
          <cell r="D117">
            <v>2870.5</v>
          </cell>
        </row>
        <row r="120">
          <cell r="D120">
            <v>153838</v>
          </cell>
        </row>
        <row r="123">
          <cell r="D123">
            <v>1720</v>
          </cell>
        </row>
        <row r="124">
          <cell r="D124">
            <v>90535</v>
          </cell>
        </row>
        <row r="125">
          <cell r="D125">
            <v>43130</v>
          </cell>
        </row>
        <row r="126">
          <cell r="D126">
            <v>4894</v>
          </cell>
        </row>
        <row r="127">
          <cell r="D127">
            <v>43660</v>
          </cell>
        </row>
        <row r="129">
          <cell r="D129">
            <v>66300</v>
          </cell>
        </row>
        <row r="130">
          <cell r="D130">
            <v>800</v>
          </cell>
        </row>
        <row r="143">
          <cell r="D143">
            <v>101779</v>
          </cell>
        </row>
      </sheetData>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15"/>
      <sheetName val="Fixed Asset Schedule"/>
      <sheetName val="Acct"/>
      <sheetName val="JV's"/>
      <sheetName val="Tax Calc"/>
      <sheetName val="Income-Local"/>
      <sheetName val="Income-Export"/>
      <sheetName val="PF Payable"/>
      <sheetName val="Medical Detail"/>
      <sheetName val="Salary  Detail with Allowances"/>
      <sheetName val="AA-g"/>
      <sheetName val="KK"/>
      <sheetName val="Cash and Bank "/>
      <sheetName val="Sch IV D"/>
      <sheetName val="Sch S IV C"/>
      <sheetName val="Sch S IV B"/>
      <sheetName val="A- Share Capital"/>
      <sheetName val="B-Reserves"/>
      <sheetName val="Debtors"/>
      <sheetName val="G-Creditors"/>
      <sheetName val="K- Pending"/>
      <sheetName val="K-Pending"/>
      <sheetName val="Sales"/>
      <sheetName val="Selling and Admin expenses"/>
      <sheetName val="PL4-OTHER INCOME "/>
      <sheetName val="PL7-REMUNERATION OF DIR"/>
      <sheetName val="Tri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AIL"/>
      <sheetName val="TRAIL (3)"/>
      <sheetName val="TRAIL (2)"/>
      <sheetName val="TREC"/>
      <sheetName val="BS"/>
      <sheetName val="Profit and Loss"/>
      <sheetName val="OCI"/>
      <sheetName val="CASH FLOW"/>
      <sheetName val="Equity statement"/>
      <sheetName val="Notes"/>
      <sheetName val="JV's"/>
      <sheetName val="Fixed Assets"/>
      <sheetName val="Provision-Final"/>
      <sheetName val="Provisio"/>
      <sheetName val="ACT Sec 113"/>
      <sheetName val="tax schedule 2015"/>
    </sheetNames>
    <sheetDataSet>
      <sheetData sheetId="0"/>
      <sheetData sheetId="1"/>
      <sheetData sheetId="2"/>
      <sheetData sheetId="3"/>
      <sheetData sheetId="4"/>
      <sheetData sheetId="5">
        <row r="28">
          <cell r="F28">
            <v>261511.00069999998</v>
          </cell>
        </row>
      </sheetData>
      <sheetData sheetId="6"/>
      <sheetData sheetId="7"/>
      <sheetData sheetId="8"/>
      <sheetData sheetId="9">
        <row r="227">
          <cell r="P227">
            <v>-951207.95699999994</v>
          </cell>
        </row>
      </sheetData>
      <sheetData sheetId="10"/>
      <sheetData sheetId="11"/>
      <sheetData sheetId="12"/>
      <sheetData sheetId="13"/>
      <sheetData sheetId="14"/>
      <sheetData sheetId="1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lance sheet"/>
      <sheetName val="Profit and Loss"/>
      <sheetName val="Fixed Assets"/>
      <sheetName val="Notes"/>
      <sheetName val="Equity statement"/>
      <sheetName val="Cash Flow "/>
      <sheetName val="tax schedule"/>
      <sheetName val="Tax Computation"/>
    </sheetNames>
    <sheetDataSet>
      <sheetData sheetId="0"/>
      <sheetData sheetId="1"/>
      <sheetData sheetId="2"/>
      <sheetData sheetId="3"/>
      <sheetData sheetId="4"/>
      <sheetData sheetId="5"/>
      <sheetData sheetId="6"/>
      <sheetData sheetId="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lance Sheet"/>
      <sheetName val="Pre operating Expenses"/>
      <sheetName val="Equity"/>
      <sheetName val="CASH FLOW"/>
      <sheetName val="Notes"/>
      <sheetName val="Cash A-C"/>
    </sheetNames>
    <sheetDataSet>
      <sheetData sheetId="0"/>
      <sheetData sheetId="1">
        <row r="4">
          <cell r="B4" t="str">
            <v>ARIF LATIF SECURITIES (PVT) LIMITED</v>
          </cell>
        </row>
      </sheetData>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26"/>
  <sheetViews>
    <sheetView workbookViewId="0">
      <selection activeCell="E35" sqref="E35"/>
    </sheetView>
  </sheetViews>
  <sheetFormatPr defaultRowHeight="16.5"/>
  <cols>
    <col min="1" max="1" width="2" style="158" customWidth="1"/>
    <col min="2" max="2" width="8.88671875" style="102"/>
    <col min="3" max="3" width="15.6640625" style="102" hidden="1" customWidth="1"/>
    <col min="4" max="4" width="15.109375" style="102" customWidth="1"/>
    <col min="5" max="5" width="13.5546875" style="102" customWidth="1"/>
    <col min="6" max="6" width="15.6640625" style="102" customWidth="1"/>
    <col min="7" max="7" width="12.6640625" style="102" hidden="1" customWidth="1"/>
    <col min="8" max="8" width="11" style="102" customWidth="1"/>
    <col min="9" max="9" width="8.88671875" style="102"/>
    <col min="10" max="16384" width="8.88671875" style="158"/>
  </cols>
  <sheetData>
    <row r="1" spans="2:8" ht="10.5" customHeight="1"/>
    <row r="2" spans="2:8">
      <c r="B2" s="339" t="str">
        <f>JV!B2</f>
        <v>ARIF LATIF SECURITIES (PVT) LIMITED</v>
      </c>
    </row>
    <row r="3" spans="2:8">
      <c r="B3" s="339" t="s">
        <v>505</v>
      </c>
    </row>
    <row r="4" spans="2:8">
      <c r="B4" s="339" t="s">
        <v>399</v>
      </c>
    </row>
    <row r="7" spans="2:8" ht="45">
      <c r="B7" s="340" t="s">
        <v>506</v>
      </c>
      <c r="C7" s="340" t="s">
        <v>507</v>
      </c>
      <c r="D7" s="340" t="s">
        <v>508</v>
      </c>
      <c r="E7" s="340" t="s">
        <v>514</v>
      </c>
      <c r="F7" s="340" t="s">
        <v>509</v>
      </c>
      <c r="G7" s="340" t="s">
        <v>510</v>
      </c>
      <c r="H7" s="340" t="s">
        <v>242</v>
      </c>
    </row>
    <row r="8" spans="2:8">
      <c r="C8" s="341" t="s">
        <v>385</v>
      </c>
      <c r="D8" s="341" t="s">
        <v>385</v>
      </c>
      <c r="E8" s="341" t="s">
        <v>386</v>
      </c>
      <c r="F8" s="341" t="s">
        <v>511</v>
      </c>
      <c r="G8" s="341" t="s">
        <v>512</v>
      </c>
      <c r="H8" s="339" t="s">
        <v>513</v>
      </c>
    </row>
    <row r="9" spans="2:8">
      <c r="B9" s="342">
        <v>41821</v>
      </c>
      <c r="C9" s="343">
        <v>83149</v>
      </c>
      <c r="D9" s="344">
        <v>155528</v>
      </c>
      <c r="E9" s="344">
        <v>87157</v>
      </c>
      <c r="F9" s="344">
        <f>+D9-E9</f>
        <v>68371</v>
      </c>
      <c r="G9" s="344">
        <f>+C9-F9</f>
        <v>14778</v>
      </c>
      <c r="H9" s="344">
        <f>+F9*0.16</f>
        <v>10939.36</v>
      </c>
    </row>
    <row r="10" spans="2:8">
      <c r="B10" s="342">
        <v>41852</v>
      </c>
      <c r="C10" s="343">
        <v>64871</v>
      </c>
      <c r="D10" s="344">
        <v>262949</v>
      </c>
      <c r="E10" s="344">
        <v>115646</v>
      </c>
      <c r="F10" s="344">
        <f t="shared" ref="F10:F20" si="0">+D10-E10</f>
        <v>147303</v>
      </c>
      <c r="G10" s="344">
        <f t="shared" ref="G10:G20" si="1">+C10-F10</f>
        <v>-82432</v>
      </c>
      <c r="H10" s="344">
        <f>+F10*0.16</f>
        <v>23568.48</v>
      </c>
    </row>
    <row r="11" spans="2:8">
      <c r="B11" s="342">
        <v>41883</v>
      </c>
      <c r="C11" s="343">
        <v>88320</v>
      </c>
      <c r="D11" s="344">
        <v>258775</v>
      </c>
      <c r="E11" s="344">
        <v>124074</v>
      </c>
      <c r="F11" s="344">
        <f t="shared" si="0"/>
        <v>134701</v>
      </c>
      <c r="G11" s="344">
        <f t="shared" si="1"/>
        <v>-46381</v>
      </c>
      <c r="H11" s="344">
        <f t="shared" ref="H11:H20" si="2">+F11*0.16</f>
        <v>21552.16</v>
      </c>
    </row>
    <row r="12" spans="2:8">
      <c r="B12" s="342">
        <v>41913</v>
      </c>
      <c r="C12" s="343">
        <v>36330</v>
      </c>
      <c r="D12" s="344">
        <v>215559</v>
      </c>
      <c r="E12" s="344">
        <v>96402</v>
      </c>
      <c r="F12" s="344">
        <f t="shared" si="0"/>
        <v>119157</v>
      </c>
      <c r="G12" s="344">
        <f t="shared" si="1"/>
        <v>-82827</v>
      </c>
      <c r="H12" s="344">
        <f t="shared" si="2"/>
        <v>19065.12</v>
      </c>
    </row>
    <row r="13" spans="2:8">
      <c r="B13" s="342">
        <v>41944</v>
      </c>
      <c r="C13" s="343">
        <v>105012</v>
      </c>
      <c r="D13" s="344">
        <v>265912</v>
      </c>
      <c r="E13" s="344">
        <v>156201</v>
      </c>
      <c r="F13" s="344">
        <f t="shared" si="0"/>
        <v>109711</v>
      </c>
      <c r="G13" s="344">
        <f t="shared" si="1"/>
        <v>-4699</v>
      </c>
      <c r="H13" s="344">
        <f>+F13*0.16</f>
        <v>17553.760000000002</v>
      </c>
    </row>
    <row r="14" spans="2:8">
      <c r="B14" s="342">
        <v>41974</v>
      </c>
      <c r="C14" s="343">
        <v>162690</v>
      </c>
      <c r="D14" s="344">
        <v>214986</v>
      </c>
      <c r="E14" s="344">
        <v>101720</v>
      </c>
      <c r="F14" s="344">
        <f t="shared" si="0"/>
        <v>113266</v>
      </c>
      <c r="G14" s="344">
        <f t="shared" si="1"/>
        <v>49424</v>
      </c>
      <c r="H14" s="344">
        <f t="shared" si="2"/>
        <v>18122.560000000001</v>
      </c>
    </row>
    <row r="15" spans="2:8">
      <c r="B15" s="342">
        <v>42005</v>
      </c>
      <c r="C15" s="343">
        <v>207421</v>
      </c>
      <c r="D15" s="344">
        <v>327061</v>
      </c>
      <c r="E15" s="344">
        <v>188783</v>
      </c>
      <c r="F15" s="344">
        <f t="shared" si="0"/>
        <v>138278</v>
      </c>
      <c r="G15" s="344">
        <f t="shared" si="1"/>
        <v>69143</v>
      </c>
      <c r="H15" s="344">
        <f t="shared" si="2"/>
        <v>22124.48</v>
      </c>
    </row>
    <row r="16" spans="2:8">
      <c r="B16" s="342">
        <v>42036</v>
      </c>
      <c r="C16" s="343">
        <v>198838</v>
      </c>
      <c r="D16" s="344">
        <v>259654</v>
      </c>
      <c r="E16" s="344">
        <v>122030</v>
      </c>
      <c r="F16" s="344">
        <f t="shared" si="0"/>
        <v>137624</v>
      </c>
      <c r="G16" s="344">
        <f t="shared" si="1"/>
        <v>61214</v>
      </c>
      <c r="H16" s="344">
        <f t="shared" si="2"/>
        <v>22019.84</v>
      </c>
    </row>
    <row r="17" spans="2:8">
      <c r="B17" s="342">
        <v>42064</v>
      </c>
      <c r="C17" s="343">
        <v>146627</v>
      </c>
      <c r="D17" s="344">
        <v>281103</v>
      </c>
      <c r="E17" s="344">
        <v>129702</v>
      </c>
      <c r="F17" s="344">
        <f t="shared" si="0"/>
        <v>151401</v>
      </c>
      <c r="G17" s="344">
        <f t="shared" si="1"/>
        <v>-4774</v>
      </c>
      <c r="H17" s="344">
        <f t="shared" si="2"/>
        <v>24224.16</v>
      </c>
    </row>
    <row r="18" spans="2:8">
      <c r="B18" s="342">
        <v>42095</v>
      </c>
      <c r="C18" s="343">
        <v>191297</v>
      </c>
      <c r="D18" s="344">
        <v>500018</v>
      </c>
      <c r="E18" s="344">
        <v>260153</v>
      </c>
      <c r="F18" s="344">
        <f t="shared" si="0"/>
        <v>239865</v>
      </c>
      <c r="G18" s="344">
        <f t="shared" si="1"/>
        <v>-48568</v>
      </c>
      <c r="H18" s="344">
        <f t="shared" si="2"/>
        <v>38378.400000000001</v>
      </c>
    </row>
    <row r="19" spans="2:8">
      <c r="B19" s="342">
        <v>42125</v>
      </c>
      <c r="C19" s="343">
        <v>143009</v>
      </c>
      <c r="D19" s="344">
        <v>274247</v>
      </c>
      <c r="E19" s="344">
        <v>145810</v>
      </c>
      <c r="F19" s="344">
        <f t="shared" si="0"/>
        <v>128437</v>
      </c>
      <c r="G19" s="344">
        <f t="shared" si="1"/>
        <v>14572</v>
      </c>
      <c r="H19" s="344">
        <f t="shared" si="2"/>
        <v>20549.920000000002</v>
      </c>
    </row>
    <row r="20" spans="2:8">
      <c r="B20" s="342">
        <v>42156</v>
      </c>
      <c r="C20" s="343">
        <v>113513</v>
      </c>
      <c r="D20" s="344">
        <v>705935</v>
      </c>
      <c r="E20" s="344">
        <v>278502</v>
      </c>
      <c r="F20" s="344">
        <f t="shared" si="0"/>
        <v>427433</v>
      </c>
      <c r="G20" s="344">
        <f t="shared" si="1"/>
        <v>-313920</v>
      </c>
      <c r="H20" s="344">
        <f t="shared" si="2"/>
        <v>68389.279999999999</v>
      </c>
    </row>
    <row r="21" spans="2:8">
      <c r="B21" s="345"/>
      <c r="C21" s="346"/>
    </row>
    <row r="22" spans="2:8">
      <c r="B22" s="345"/>
      <c r="C22" s="347"/>
      <c r="D22" s="113"/>
      <c r="E22" s="113"/>
      <c r="F22" s="113"/>
      <c r="G22" s="113"/>
      <c r="H22" s="113"/>
    </row>
    <row r="23" spans="2:8" ht="17.25" thickBot="1">
      <c r="B23" s="345"/>
      <c r="C23" s="348">
        <f t="shared" ref="C23:H23" si="3">SUM(C9:C20)</f>
        <v>1541077</v>
      </c>
      <c r="D23" s="349">
        <f t="shared" si="3"/>
        <v>3721727</v>
      </c>
      <c r="E23" s="349">
        <f t="shared" si="3"/>
        <v>1806180</v>
      </c>
      <c r="F23" s="349">
        <f t="shared" si="3"/>
        <v>1915547</v>
      </c>
      <c r="G23" s="349">
        <f t="shared" si="3"/>
        <v>-374470</v>
      </c>
      <c r="H23" s="349">
        <f t="shared" si="3"/>
        <v>306487.52</v>
      </c>
    </row>
    <row r="24" spans="2:8" ht="17.25" thickTop="1">
      <c r="B24" s="345"/>
      <c r="C24" s="346"/>
      <c r="D24" s="346"/>
      <c r="E24" s="346"/>
      <c r="F24" s="346"/>
      <c r="G24" s="346"/>
    </row>
    <row r="25" spans="2:8">
      <c r="B25" s="345"/>
      <c r="F25" s="102">
        <v>1974950.83</v>
      </c>
    </row>
    <row r="26" spans="2:8">
      <c r="B26" s="345"/>
      <c r="F26" s="102">
        <f>F25-F23</f>
        <v>59403.830000000075</v>
      </c>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2:K177"/>
  <sheetViews>
    <sheetView tabSelected="1" zoomScale="70" zoomScaleNormal="70" workbookViewId="0">
      <selection activeCell="J4" sqref="J4"/>
    </sheetView>
  </sheetViews>
  <sheetFormatPr defaultRowHeight="12.75"/>
  <cols>
    <col min="1" max="1" width="6.33203125" style="315" bestFit="1" customWidth="1"/>
    <col min="2" max="3" width="3.21875" style="315" bestFit="1" customWidth="1"/>
    <col min="4" max="4" width="3.5546875" style="315" bestFit="1" customWidth="1"/>
    <col min="5" max="5" width="24.5546875" style="315" bestFit="1" customWidth="1"/>
    <col min="6" max="6" width="14.6640625" style="315" bestFit="1" customWidth="1"/>
    <col min="7" max="7" width="2.77734375" style="315" bestFit="1" customWidth="1"/>
    <col min="8" max="9" width="16" style="315" bestFit="1" customWidth="1"/>
    <col min="10" max="11" width="14.21875" style="315" bestFit="1" customWidth="1"/>
    <col min="12" max="12" width="1.88671875" style="315" bestFit="1" customWidth="1"/>
    <col min="13" max="16384" width="8.88671875" style="315"/>
  </cols>
  <sheetData>
    <row r="2" spans="1:11">
      <c r="A2" s="315" t="s">
        <v>356</v>
      </c>
    </row>
    <row r="3" spans="1:11">
      <c r="A3" s="315" t="s">
        <v>357</v>
      </c>
    </row>
    <row r="4" spans="1:11">
      <c r="A4" s="315" t="s">
        <v>358</v>
      </c>
    </row>
    <row r="5" spans="1:11">
      <c r="A5" s="315" t="s">
        <v>472</v>
      </c>
    </row>
    <row r="7" spans="1:11">
      <c r="A7" s="315" t="s">
        <v>8</v>
      </c>
      <c r="B7" s="315" t="s">
        <v>225</v>
      </c>
      <c r="C7" s="315" t="s">
        <v>409</v>
      </c>
      <c r="D7" s="315" t="s">
        <v>410</v>
      </c>
      <c r="E7" s="315" t="s">
        <v>226</v>
      </c>
      <c r="F7" s="315" t="s">
        <v>227</v>
      </c>
      <c r="H7" s="315" t="s">
        <v>228</v>
      </c>
      <c r="I7" s="315" t="s">
        <v>229</v>
      </c>
      <c r="J7" s="315" t="s">
        <v>230</v>
      </c>
      <c r="K7" s="315" t="s">
        <v>231</v>
      </c>
    </row>
    <row r="8" spans="1:11">
      <c r="A8" s="315" t="s">
        <v>232</v>
      </c>
      <c r="B8" s="315" t="s">
        <v>233</v>
      </c>
      <c r="C8" s="315" t="s">
        <v>233</v>
      </c>
      <c r="D8" s="315" t="s">
        <v>411</v>
      </c>
      <c r="E8" s="315" t="s">
        <v>234</v>
      </c>
      <c r="F8" s="315" t="s">
        <v>235</v>
      </c>
      <c r="G8" s="315" t="s">
        <v>233</v>
      </c>
      <c r="H8" s="315" t="s">
        <v>236</v>
      </c>
      <c r="I8" s="315" t="s">
        <v>236</v>
      </c>
      <c r="J8" s="315" t="s">
        <v>235</v>
      </c>
      <c r="K8" s="315" t="s">
        <v>235</v>
      </c>
    </row>
    <row r="9" spans="1:11">
      <c r="A9" s="315">
        <v>41646</v>
      </c>
      <c r="B9" s="315" t="s">
        <v>237</v>
      </c>
      <c r="C9" s="315" t="s">
        <v>237</v>
      </c>
      <c r="D9" s="315">
        <v>1</v>
      </c>
      <c r="E9" s="315" t="s">
        <v>238</v>
      </c>
      <c r="F9" s="315">
        <v>10000000</v>
      </c>
      <c r="G9" s="315" t="s">
        <v>239</v>
      </c>
      <c r="J9" s="315">
        <v>0</v>
      </c>
      <c r="K9" s="316">
        <v>10000000</v>
      </c>
    </row>
    <row r="10" spans="1:11">
      <c r="A10" s="315" t="s">
        <v>232</v>
      </c>
      <c r="B10" s="315" t="s">
        <v>233</v>
      </c>
      <c r="C10" s="315" t="s">
        <v>233</v>
      </c>
      <c r="D10" s="315" t="s">
        <v>411</v>
      </c>
      <c r="E10" s="315" t="s">
        <v>234</v>
      </c>
      <c r="F10" s="315" t="s">
        <v>235</v>
      </c>
      <c r="G10" s="315" t="s">
        <v>233</v>
      </c>
      <c r="H10" s="315" t="s">
        <v>236</v>
      </c>
      <c r="I10" s="315" t="s">
        <v>236</v>
      </c>
      <c r="J10" s="315" t="s">
        <v>235</v>
      </c>
      <c r="K10" s="316" t="s">
        <v>235</v>
      </c>
    </row>
    <row r="11" spans="1:11">
      <c r="E11" s="315" t="s">
        <v>240</v>
      </c>
      <c r="F11" s="315">
        <v>10000000</v>
      </c>
      <c r="G11" s="315" t="s">
        <v>239</v>
      </c>
      <c r="J11" s="315">
        <v>0</v>
      </c>
      <c r="K11" s="316">
        <v>10000000</v>
      </c>
    </row>
    <row r="13" spans="1:11">
      <c r="A13" s="315">
        <v>41646</v>
      </c>
      <c r="B13" s="315" t="s">
        <v>412</v>
      </c>
      <c r="C13" s="315" t="s">
        <v>412</v>
      </c>
      <c r="D13" s="315">
        <v>1</v>
      </c>
      <c r="E13" s="315" t="s">
        <v>413</v>
      </c>
      <c r="F13" s="315">
        <v>1970879</v>
      </c>
      <c r="G13" s="315" t="s">
        <v>239</v>
      </c>
      <c r="J13" s="315">
        <v>0</v>
      </c>
      <c r="K13" s="315">
        <v>1970879</v>
      </c>
    </row>
    <row r="14" spans="1:11">
      <c r="A14" s="315" t="s">
        <v>232</v>
      </c>
      <c r="B14" s="315" t="s">
        <v>233</v>
      </c>
      <c r="C14" s="315" t="s">
        <v>233</v>
      </c>
      <c r="D14" s="315" t="s">
        <v>411</v>
      </c>
      <c r="E14" s="315" t="s">
        <v>234</v>
      </c>
      <c r="F14" s="315" t="s">
        <v>235</v>
      </c>
      <c r="G14" s="315" t="s">
        <v>233</v>
      </c>
      <c r="H14" s="315" t="s">
        <v>236</v>
      </c>
      <c r="I14" s="315" t="s">
        <v>236</v>
      </c>
      <c r="J14" s="315" t="s">
        <v>235</v>
      </c>
      <c r="K14" s="315" t="s">
        <v>235</v>
      </c>
    </row>
    <row r="15" spans="1:11">
      <c r="E15" s="315" t="s">
        <v>414</v>
      </c>
      <c r="F15" s="315">
        <v>1970879</v>
      </c>
      <c r="G15" s="315" t="s">
        <v>239</v>
      </c>
      <c r="J15" s="315">
        <v>0</v>
      </c>
      <c r="K15" s="315">
        <v>1970879</v>
      </c>
    </row>
    <row r="17" spans="1:11">
      <c r="A17" s="315" t="s">
        <v>415</v>
      </c>
      <c r="B17" s="315" t="s">
        <v>225</v>
      </c>
      <c r="C17" s="315" t="s">
        <v>225</v>
      </c>
      <c r="D17" s="315">
        <v>3</v>
      </c>
      <c r="E17" s="315" t="s">
        <v>416</v>
      </c>
      <c r="F17" s="315">
        <v>0</v>
      </c>
      <c r="H17" s="315">
        <v>1000</v>
      </c>
      <c r="I17" s="315">
        <v>1000</v>
      </c>
      <c r="J17" s="315">
        <v>0</v>
      </c>
      <c r="K17" s="315">
        <v>0</v>
      </c>
    </row>
    <row r="18" spans="1:11">
      <c r="A18" s="315" t="s">
        <v>415</v>
      </c>
      <c r="B18" s="315" t="s">
        <v>225</v>
      </c>
      <c r="C18" s="315" t="s">
        <v>225</v>
      </c>
      <c r="D18" s="315">
        <v>4</v>
      </c>
      <c r="E18" s="315" t="s">
        <v>417</v>
      </c>
      <c r="F18" s="315">
        <v>0</v>
      </c>
      <c r="H18" s="315">
        <v>1000</v>
      </c>
      <c r="I18" s="315">
        <v>1000</v>
      </c>
      <c r="J18" s="315">
        <v>0</v>
      </c>
      <c r="K18" s="315">
        <v>0</v>
      </c>
    </row>
    <row r="19" spans="1:11">
      <c r="A19" s="315" t="s">
        <v>232</v>
      </c>
      <c r="B19" s="315" t="s">
        <v>233</v>
      </c>
      <c r="C19" s="315" t="s">
        <v>233</v>
      </c>
      <c r="D19" s="315" t="s">
        <v>411</v>
      </c>
      <c r="E19" s="315" t="s">
        <v>234</v>
      </c>
      <c r="F19" s="315" t="s">
        <v>235</v>
      </c>
      <c r="G19" s="315" t="s">
        <v>233</v>
      </c>
      <c r="H19" s="315" t="s">
        <v>236</v>
      </c>
      <c r="I19" s="315" t="s">
        <v>236</v>
      </c>
      <c r="J19" s="315" t="s">
        <v>235</v>
      </c>
      <c r="K19" s="315" t="s">
        <v>235</v>
      </c>
    </row>
    <row r="20" spans="1:11">
      <c r="E20" s="315" t="s">
        <v>418</v>
      </c>
      <c r="F20" s="315">
        <v>0</v>
      </c>
      <c r="H20" s="315">
        <v>2000</v>
      </c>
      <c r="I20" s="315">
        <v>2000</v>
      </c>
      <c r="J20" s="315">
        <v>0</v>
      </c>
      <c r="K20" s="315">
        <v>0</v>
      </c>
    </row>
    <row r="22" spans="1:11">
      <c r="A22" s="315" t="s">
        <v>415</v>
      </c>
      <c r="B22" s="315" t="s">
        <v>241</v>
      </c>
      <c r="C22" s="315" t="s">
        <v>419</v>
      </c>
      <c r="D22" s="315" t="s">
        <v>387</v>
      </c>
      <c r="E22" s="315" t="s">
        <v>420</v>
      </c>
      <c r="F22" s="315">
        <v>0</v>
      </c>
      <c r="H22" s="315">
        <v>351475.08</v>
      </c>
      <c r="I22" s="315">
        <v>365401.98</v>
      </c>
      <c r="J22" s="315">
        <v>0</v>
      </c>
      <c r="K22" s="318">
        <v>13926.9</v>
      </c>
    </row>
    <row r="23" spans="1:11">
      <c r="A23" s="315" t="s">
        <v>415</v>
      </c>
      <c r="B23" s="315" t="s">
        <v>241</v>
      </c>
      <c r="C23" s="315" t="s">
        <v>359</v>
      </c>
      <c r="D23" s="315" t="s">
        <v>421</v>
      </c>
      <c r="E23" s="315" t="s">
        <v>422</v>
      </c>
      <c r="F23" s="315">
        <v>0</v>
      </c>
      <c r="H23" s="315">
        <v>3381884.11</v>
      </c>
      <c r="I23" s="315">
        <v>3381884.11</v>
      </c>
      <c r="J23" s="315">
        <v>0</v>
      </c>
      <c r="K23" s="318">
        <v>0</v>
      </c>
    </row>
    <row r="24" spans="1:11">
      <c r="A24" s="315" t="s">
        <v>415</v>
      </c>
      <c r="B24" s="315" t="s">
        <v>241</v>
      </c>
      <c r="C24" s="315" t="s">
        <v>423</v>
      </c>
      <c r="D24" s="315" t="s">
        <v>421</v>
      </c>
      <c r="E24" s="315" t="s">
        <v>424</v>
      </c>
      <c r="F24" s="315">
        <v>0</v>
      </c>
      <c r="H24" s="315">
        <v>5266.7</v>
      </c>
      <c r="I24" s="315">
        <v>5266.7</v>
      </c>
      <c r="J24" s="315">
        <v>0</v>
      </c>
      <c r="K24" s="318">
        <v>0</v>
      </c>
    </row>
    <row r="25" spans="1:11">
      <c r="A25" s="315" t="s">
        <v>415</v>
      </c>
      <c r="B25" s="315" t="s">
        <v>241</v>
      </c>
      <c r="C25" s="315" t="s">
        <v>299</v>
      </c>
      <c r="D25" s="315" t="s">
        <v>425</v>
      </c>
      <c r="E25" s="315" t="s">
        <v>243</v>
      </c>
      <c r="F25" s="315">
        <v>0</v>
      </c>
      <c r="H25" s="315">
        <v>266257</v>
      </c>
      <c r="I25" s="315">
        <v>331207.24</v>
      </c>
      <c r="J25" s="315">
        <v>0</v>
      </c>
      <c r="K25" s="318">
        <v>64950.239999999998</v>
      </c>
    </row>
    <row r="26" spans="1:11">
      <c r="A26" s="315" t="s">
        <v>232</v>
      </c>
      <c r="B26" s="315" t="s">
        <v>233</v>
      </c>
      <c r="C26" s="315" t="s">
        <v>233</v>
      </c>
      <c r="D26" s="315" t="s">
        <v>411</v>
      </c>
      <c r="E26" s="315" t="s">
        <v>234</v>
      </c>
      <c r="F26" s="315" t="s">
        <v>235</v>
      </c>
      <c r="G26" s="315" t="s">
        <v>233</v>
      </c>
      <c r="H26" s="315" t="s">
        <v>236</v>
      </c>
      <c r="I26" s="315" t="s">
        <v>236</v>
      </c>
      <c r="J26" s="315" t="s">
        <v>235</v>
      </c>
      <c r="K26" s="318" t="s">
        <v>235</v>
      </c>
    </row>
    <row r="27" spans="1:11">
      <c r="E27" s="315" t="s">
        <v>244</v>
      </c>
      <c r="F27" s="315">
        <v>0</v>
      </c>
      <c r="H27" s="315">
        <v>4004882.89</v>
      </c>
      <c r="I27" s="315">
        <v>4083760.03</v>
      </c>
      <c r="J27" s="315">
        <v>0</v>
      </c>
      <c r="K27" s="318">
        <v>78877.14</v>
      </c>
    </row>
    <row r="29" spans="1:11">
      <c r="A29" s="315">
        <v>41646</v>
      </c>
      <c r="B29" s="315" t="s">
        <v>245</v>
      </c>
      <c r="C29" s="315" t="s">
        <v>245</v>
      </c>
      <c r="D29" s="315">
        <v>1</v>
      </c>
      <c r="E29" s="315" t="s">
        <v>246</v>
      </c>
      <c r="F29" s="315">
        <v>24327</v>
      </c>
      <c r="G29" s="315" t="s">
        <v>247</v>
      </c>
      <c r="J29" s="316">
        <v>24327</v>
      </c>
      <c r="K29" s="315">
        <v>0</v>
      </c>
    </row>
    <row r="30" spans="1:11">
      <c r="A30" s="315">
        <v>41646</v>
      </c>
      <c r="B30" s="315" t="s">
        <v>245</v>
      </c>
      <c r="C30" s="315" t="s">
        <v>245</v>
      </c>
      <c r="D30" s="315">
        <v>2</v>
      </c>
      <c r="E30" s="315" t="s">
        <v>112</v>
      </c>
      <c r="F30" s="315">
        <v>50466</v>
      </c>
      <c r="G30" s="315" t="s">
        <v>247</v>
      </c>
      <c r="J30" s="316">
        <v>50466</v>
      </c>
      <c r="K30" s="315">
        <v>0</v>
      </c>
    </row>
    <row r="31" spans="1:11">
      <c r="A31" s="315">
        <v>41646</v>
      </c>
      <c r="B31" s="315" t="s">
        <v>245</v>
      </c>
      <c r="C31" s="315" t="s">
        <v>245</v>
      </c>
      <c r="D31" s="315">
        <v>3</v>
      </c>
      <c r="E31" s="315" t="s">
        <v>248</v>
      </c>
      <c r="F31" s="315">
        <v>20100</v>
      </c>
      <c r="G31" s="315" t="s">
        <v>247</v>
      </c>
      <c r="J31" s="316">
        <v>20100</v>
      </c>
      <c r="K31" s="315">
        <v>0</v>
      </c>
    </row>
    <row r="32" spans="1:11">
      <c r="A32" s="315">
        <v>41646</v>
      </c>
      <c r="B32" s="315" t="s">
        <v>245</v>
      </c>
      <c r="C32" s="315" t="s">
        <v>245</v>
      </c>
      <c r="D32" s="315">
        <v>4</v>
      </c>
      <c r="E32" s="315" t="s">
        <v>249</v>
      </c>
      <c r="F32" s="315">
        <v>34165</v>
      </c>
      <c r="G32" s="315" t="s">
        <v>247</v>
      </c>
      <c r="J32" s="316">
        <v>34165</v>
      </c>
      <c r="K32" s="315">
        <v>0</v>
      </c>
    </row>
    <row r="33" spans="1:11">
      <c r="A33" s="315">
        <v>41646</v>
      </c>
      <c r="B33" s="315" t="s">
        <v>245</v>
      </c>
      <c r="C33" s="315" t="s">
        <v>245</v>
      </c>
      <c r="D33" s="315">
        <v>5</v>
      </c>
      <c r="E33" s="315" t="s">
        <v>250</v>
      </c>
      <c r="F33" s="315">
        <v>16982</v>
      </c>
      <c r="G33" s="315" t="s">
        <v>247</v>
      </c>
      <c r="J33" s="316">
        <v>16982</v>
      </c>
      <c r="K33" s="315">
        <v>0</v>
      </c>
    </row>
    <row r="34" spans="1:11">
      <c r="A34" s="315" t="s">
        <v>232</v>
      </c>
      <c r="B34" s="315" t="s">
        <v>233</v>
      </c>
      <c r="C34" s="315" t="s">
        <v>233</v>
      </c>
      <c r="D34" s="315" t="s">
        <v>411</v>
      </c>
      <c r="E34" s="315" t="s">
        <v>234</v>
      </c>
      <c r="F34" s="315" t="s">
        <v>235</v>
      </c>
      <c r="G34" s="315" t="s">
        <v>233</v>
      </c>
      <c r="H34" s="315" t="s">
        <v>236</v>
      </c>
      <c r="I34" s="315" t="s">
        <v>236</v>
      </c>
      <c r="J34" s="316" t="s">
        <v>235</v>
      </c>
      <c r="K34" s="315" t="s">
        <v>235</v>
      </c>
    </row>
    <row r="35" spans="1:11">
      <c r="E35" s="315" t="s">
        <v>251</v>
      </c>
      <c r="F35" s="315">
        <v>146040</v>
      </c>
      <c r="G35" s="315" t="s">
        <v>247</v>
      </c>
      <c r="J35" s="316">
        <v>146040</v>
      </c>
      <c r="K35" s="315">
        <v>0</v>
      </c>
    </row>
    <row r="37" spans="1:11">
      <c r="A37" s="315">
        <v>41646</v>
      </c>
      <c r="B37" s="315" t="s">
        <v>252</v>
      </c>
      <c r="C37" s="315" t="s">
        <v>245</v>
      </c>
      <c r="D37" s="315">
        <v>6</v>
      </c>
      <c r="E37" s="315" t="s">
        <v>253</v>
      </c>
      <c r="F37" s="315">
        <v>300000</v>
      </c>
      <c r="G37" s="315" t="s">
        <v>247</v>
      </c>
      <c r="J37" s="316">
        <v>300000</v>
      </c>
      <c r="K37" s="315">
        <v>0</v>
      </c>
    </row>
    <row r="38" spans="1:11">
      <c r="A38" s="315">
        <v>41646</v>
      </c>
      <c r="B38" s="315" t="s">
        <v>252</v>
      </c>
      <c r="C38" s="315" t="s">
        <v>245</v>
      </c>
      <c r="D38" s="315">
        <v>8</v>
      </c>
      <c r="E38" s="315" t="s">
        <v>254</v>
      </c>
      <c r="F38" s="315">
        <v>100000</v>
      </c>
      <c r="G38" s="315" t="s">
        <v>247</v>
      </c>
      <c r="J38" s="316">
        <v>100000</v>
      </c>
      <c r="K38" s="315">
        <v>0</v>
      </c>
    </row>
    <row r="39" spans="1:11">
      <c r="A39" s="315">
        <v>41646</v>
      </c>
      <c r="B39" s="315" t="s">
        <v>252</v>
      </c>
      <c r="C39" s="315" t="s">
        <v>245</v>
      </c>
      <c r="D39" s="315">
        <v>9</v>
      </c>
      <c r="E39" s="315" t="s">
        <v>122</v>
      </c>
      <c r="F39" s="315">
        <v>1241955</v>
      </c>
      <c r="G39" s="315" t="s">
        <v>247</v>
      </c>
      <c r="J39" s="316">
        <v>1241955</v>
      </c>
      <c r="K39" s="315">
        <v>0</v>
      </c>
    </row>
    <row r="40" spans="1:11">
      <c r="A40" s="315">
        <v>41646</v>
      </c>
      <c r="B40" s="315" t="s">
        <v>252</v>
      </c>
      <c r="C40" s="315" t="s">
        <v>245</v>
      </c>
      <c r="D40" s="315">
        <v>13</v>
      </c>
      <c r="E40" s="315" t="s">
        <v>146</v>
      </c>
      <c r="F40" s="315">
        <v>1758045</v>
      </c>
      <c r="G40" s="315" t="s">
        <v>247</v>
      </c>
      <c r="J40" s="316">
        <v>1758045</v>
      </c>
      <c r="K40" s="315">
        <v>0</v>
      </c>
    </row>
    <row r="41" spans="1:11">
      <c r="A41" s="315" t="s">
        <v>232</v>
      </c>
      <c r="B41" s="315" t="s">
        <v>233</v>
      </c>
      <c r="C41" s="315" t="s">
        <v>233</v>
      </c>
      <c r="D41" s="315" t="s">
        <v>411</v>
      </c>
      <c r="E41" s="315" t="s">
        <v>234</v>
      </c>
      <c r="F41" s="315" t="s">
        <v>235</v>
      </c>
      <c r="G41" s="315" t="s">
        <v>233</v>
      </c>
      <c r="H41" s="315" t="s">
        <v>236</v>
      </c>
      <c r="I41" s="315" t="s">
        <v>236</v>
      </c>
      <c r="J41" s="316" t="s">
        <v>235</v>
      </c>
      <c r="K41" s="315" t="s">
        <v>235</v>
      </c>
    </row>
    <row r="42" spans="1:11">
      <c r="E42" s="315" t="s">
        <v>255</v>
      </c>
      <c r="F42" s="315">
        <v>3400000</v>
      </c>
      <c r="G42" s="315" t="s">
        <v>247</v>
      </c>
      <c r="J42" s="316">
        <v>3400000</v>
      </c>
      <c r="K42" s="315">
        <v>0</v>
      </c>
    </row>
    <row r="44" spans="1:11">
      <c r="A44" s="315">
        <v>41646</v>
      </c>
      <c r="B44" s="315" t="s">
        <v>256</v>
      </c>
      <c r="C44" s="315">
        <v>0</v>
      </c>
      <c r="D44" s="315">
        <v>1</v>
      </c>
      <c r="E44" s="315" t="s">
        <v>257</v>
      </c>
      <c r="F44" s="315">
        <v>400000</v>
      </c>
      <c r="G44" s="315" t="s">
        <v>247</v>
      </c>
      <c r="J44" s="316">
        <v>400000</v>
      </c>
      <c r="K44" s="316">
        <v>0</v>
      </c>
    </row>
    <row r="45" spans="1:11">
      <c r="A45" s="315">
        <v>41646</v>
      </c>
      <c r="B45" s="315" t="s">
        <v>256</v>
      </c>
      <c r="C45" s="315">
        <v>0</v>
      </c>
      <c r="D45" s="315">
        <v>2</v>
      </c>
      <c r="E45" s="315" t="s">
        <v>258</v>
      </c>
      <c r="F45" s="315">
        <v>28405913.25</v>
      </c>
      <c r="G45" s="315" t="s">
        <v>239</v>
      </c>
      <c r="J45" s="316">
        <v>0</v>
      </c>
      <c r="K45" s="316">
        <v>28405913.25</v>
      </c>
    </row>
    <row r="46" spans="1:11">
      <c r="A46" s="315" t="s">
        <v>426</v>
      </c>
      <c r="B46" s="315" t="s">
        <v>256</v>
      </c>
      <c r="C46" s="315">
        <v>0</v>
      </c>
      <c r="D46" s="315">
        <v>3</v>
      </c>
      <c r="E46" s="315" t="s">
        <v>427</v>
      </c>
      <c r="F46" s="315">
        <v>0</v>
      </c>
      <c r="H46" s="315">
        <v>33147504</v>
      </c>
      <c r="I46" s="315">
        <v>33151103.5</v>
      </c>
      <c r="J46" s="316">
        <v>0</v>
      </c>
      <c r="K46" s="316">
        <v>3599.5</v>
      </c>
    </row>
    <row r="47" spans="1:11">
      <c r="A47" s="315" t="s">
        <v>426</v>
      </c>
      <c r="B47" s="315" t="s">
        <v>256</v>
      </c>
      <c r="C47" s="315">
        <v>0</v>
      </c>
      <c r="D47" s="315">
        <v>4</v>
      </c>
      <c r="E47" s="315" t="s">
        <v>259</v>
      </c>
      <c r="F47" s="315">
        <v>1000</v>
      </c>
      <c r="G47" s="315" t="s">
        <v>247</v>
      </c>
      <c r="I47" s="315">
        <v>1000</v>
      </c>
      <c r="J47" s="316">
        <v>0</v>
      </c>
      <c r="K47" s="316">
        <v>0</v>
      </c>
    </row>
    <row r="48" spans="1:11">
      <c r="A48" s="315">
        <v>41646</v>
      </c>
      <c r="B48" s="315" t="s">
        <v>256</v>
      </c>
      <c r="C48" s="315">
        <v>0</v>
      </c>
      <c r="D48" s="315">
        <v>6</v>
      </c>
      <c r="E48" s="315" t="s">
        <v>260</v>
      </c>
      <c r="F48" s="315">
        <v>30000</v>
      </c>
      <c r="G48" s="315" t="s">
        <v>247</v>
      </c>
      <c r="J48" s="316">
        <v>30000</v>
      </c>
      <c r="K48" s="316">
        <v>0</v>
      </c>
    </row>
    <row r="49" spans="1:11">
      <c r="A49" s="315" t="s">
        <v>415</v>
      </c>
      <c r="B49" s="315" t="s">
        <v>256</v>
      </c>
      <c r="C49" s="315">
        <v>0</v>
      </c>
      <c r="D49" s="315">
        <v>7</v>
      </c>
      <c r="E49" s="315" t="s">
        <v>261</v>
      </c>
      <c r="F49" s="315">
        <v>1585333.09</v>
      </c>
      <c r="G49" s="315" t="s">
        <v>247</v>
      </c>
      <c r="H49" s="315">
        <v>9060797736.2600002</v>
      </c>
      <c r="I49" s="315">
        <v>9061664755.3099995</v>
      </c>
      <c r="J49" s="316">
        <v>718314.04</v>
      </c>
      <c r="K49" s="316">
        <v>0</v>
      </c>
    </row>
    <row r="50" spans="1:11">
      <c r="A50" s="315">
        <v>41646</v>
      </c>
      <c r="B50" s="315" t="s">
        <v>256</v>
      </c>
      <c r="C50" s="315">
        <v>0</v>
      </c>
      <c r="D50" s="315">
        <v>9</v>
      </c>
      <c r="E50" s="315" t="s">
        <v>262</v>
      </c>
      <c r="F50" s="315">
        <v>65740.820000000007</v>
      </c>
      <c r="G50" s="315" t="s">
        <v>239</v>
      </c>
      <c r="J50" s="316">
        <v>0</v>
      </c>
      <c r="K50" s="316">
        <v>65740.820000000007</v>
      </c>
    </row>
    <row r="51" spans="1:11">
      <c r="A51" s="315" t="s">
        <v>426</v>
      </c>
      <c r="B51" s="315" t="s">
        <v>256</v>
      </c>
      <c r="C51" s="315">
        <v>1</v>
      </c>
      <c r="D51" s="315">
        <v>1</v>
      </c>
      <c r="E51" s="315" t="s">
        <v>263</v>
      </c>
      <c r="F51" s="315">
        <v>158</v>
      </c>
      <c r="G51" s="315" t="s">
        <v>239</v>
      </c>
      <c r="H51" s="315">
        <v>14446515.720000001</v>
      </c>
      <c r="I51" s="315">
        <v>14448126.59</v>
      </c>
      <c r="J51" s="316">
        <v>0</v>
      </c>
      <c r="K51" s="316">
        <v>1768.87</v>
      </c>
    </row>
    <row r="52" spans="1:11">
      <c r="A52" s="315" t="s">
        <v>415</v>
      </c>
      <c r="B52" s="315" t="s">
        <v>256</v>
      </c>
      <c r="C52" s="315">
        <v>1</v>
      </c>
      <c r="D52" s="315">
        <v>2</v>
      </c>
      <c r="E52" s="315" t="s">
        <v>264</v>
      </c>
      <c r="F52" s="315">
        <v>10649039.800000001</v>
      </c>
      <c r="G52" s="315" t="s">
        <v>247</v>
      </c>
      <c r="H52" s="315">
        <v>38044533</v>
      </c>
      <c r="I52" s="315">
        <v>48693572.799999997</v>
      </c>
      <c r="J52" s="316">
        <v>0</v>
      </c>
      <c r="K52" s="316">
        <v>0</v>
      </c>
    </row>
    <row r="53" spans="1:11">
      <c r="A53" s="315">
        <v>41646</v>
      </c>
      <c r="B53" s="315" t="s">
        <v>256</v>
      </c>
      <c r="C53" s="315">
        <v>1</v>
      </c>
      <c r="D53" s="315">
        <v>3</v>
      </c>
      <c r="E53" s="315" t="s">
        <v>265</v>
      </c>
      <c r="F53" s="315">
        <v>49065.8</v>
      </c>
      <c r="G53" s="315" t="s">
        <v>239</v>
      </c>
      <c r="I53" s="315">
        <v>398000</v>
      </c>
      <c r="J53" s="316">
        <v>0</v>
      </c>
      <c r="K53" s="316">
        <v>447065.8</v>
      </c>
    </row>
    <row r="54" spans="1:11">
      <c r="A54" s="315" t="s">
        <v>415</v>
      </c>
      <c r="B54" s="315" t="s">
        <v>256</v>
      </c>
      <c r="C54" s="315">
        <v>1</v>
      </c>
      <c r="D54" s="315">
        <v>4</v>
      </c>
      <c r="E54" s="315" t="s">
        <v>215</v>
      </c>
      <c r="F54" s="315">
        <v>21395126.98</v>
      </c>
      <c r="G54" s="315" t="s">
        <v>239</v>
      </c>
      <c r="H54" s="315">
        <v>550699540.70000005</v>
      </c>
      <c r="I54" s="315">
        <v>517472587.04000002</v>
      </c>
      <c r="J54" s="316">
        <v>11831826.68</v>
      </c>
      <c r="K54" s="316">
        <v>0</v>
      </c>
    </row>
    <row r="55" spans="1:11">
      <c r="A55" s="315" t="s">
        <v>426</v>
      </c>
      <c r="B55" s="315" t="s">
        <v>256</v>
      </c>
      <c r="C55" s="315">
        <v>1</v>
      </c>
      <c r="D55" s="315">
        <v>5</v>
      </c>
      <c r="E55" s="315" t="s">
        <v>266</v>
      </c>
      <c r="F55" s="315">
        <v>647599.82999999996</v>
      </c>
      <c r="G55" s="315" t="s">
        <v>239</v>
      </c>
      <c r="H55" s="315">
        <v>3499195362.96</v>
      </c>
      <c r="I55" s="315">
        <v>3499377740.3000002</v>
      </c>
      <c r="J55" s="316">
        <v>0</v>
      </c>
      <c r="K55" s="316">
        <v>829977.17</v>
      </c>
    </row>
    <row r="56" spans="1:11">
      <c r="A56" s="315" t="s">
        <v>415</v>
      </c>
      <c r="B56" s="315" t="s">
        <v>256</v>
      </c>
      <c r="C56" s="315">
        <v>1</v>
      </c>
      <c r="D56" s="315">
        <v>8</v>
      </c>
      <c r="E56" s="315" t="s">
        <v>267</v>
      </c>
      <c r="F56" s="315">
        <v>2241192.67</v>
      </c>
      <c r="G56" s="315" t="s">
        <v>239</v>
      </c>
      <c r="H56" s="315">
        <v>103009832.43000001</v>
      </c>
      <c r="I56" s="315">
        <v>110192565.89</v>
      </c>
      <c r="J56" s="316">
        <v>0</v>
      </c>
      <c r="K56" s="316">
        <v>9423926.1300000008</v>
      </c>
    </row>
    <row r="57" spans="1:11">
      <c r="A57" s="315" t="s">
        <v>415</v>
      </c>
      <c r="B57" s="315" t="s">
        <v>256</v>
      </c>
      <c r="C57" s="315">
        <v>2</v>
      </c>
      <c r="D57" s="315">
        <v>3</v>
      </c>
      <c r="E57" s="315" t="s">
        <v>268</v>
      </c>
      <c r="F57" s="315">
        <v>235069.45</v>
      </c>
      <c r="G57" s="315" t="s">
        <v>239</v>
      </c>
      <c r="H57" s="315">
        <v>89896177.530000001</v>
      </c>
      <c r="I57" s="315">
        <v>90010890.379999995</v>
      </c>
      <c r="J57" s="316">
        <v>0</v>
      </c>
      <c r="K57" s="316">
        <v>349782.3</v>
      </c>
    </row>
    <row r="58" spans="1:11">
      <c r="A58" s="315">
        <v>41646</v>
      </c>
      <c r="B58" s="315" t="s">
        <v>256</v>
      </c>
      <c r="C58" s="315">
        <v>3</v>
      </c>
      <c r="D58" s="315">
        <v>1</v>
      </c>
      <c r="E58" s="315" t="s">
        <v>269</v>
      </c>
      <c r="F58" s="315">
        <v>30000</v>
      </c>
      <c r="G58" s="315" t="s">
        <v>247</v>
      </c>
      <c r="J58" s="316">
        <v>30000</v>
      </c>
      <c r="K58" s="316">
        <v>0</v>
      </c>
    </row>
    <row r="59" spans="1:11">
      <c r="A59" s="315" t="s">
        <v>415</v>
      </c>
      <c r="B59" s="315" t="s">
        <v>256</v>
      </c>
      <c r="C59" s="315">
        <v>3</v>
      </c>
      <c r="D59" s="315">
        <v>4</v>
      </c>
      <c r="E59" s="315" t="s">
        <v>270</v>
      </c>
      <c r="F59" s="315">
        <v>17521.09</v>
      </c>
      <c r="G59" s="315" t="s">
        <v>239</v>
      </c>
      <c r="H59" s="315">
        <v>71005413.609999999</v>
      </c>
      <c r="I59" s="315">
        <v>71030326.120000005</v>
      </c>
      <c r="J59" s="316">
        <v>0</v>
      </c>
      <c r="K59" s="316">
        <v>42433.599999999999</v>
      </c>
    </row>
    <row r="60" spans="1:11">
      <c r="A60" s="315" t="s">
        <v>415</v>
      </c>
      <c r="B60" s="315" t="s">
        <v>256</v>
      </c>
      <c r="C60" s="315">
        <v>3</v>
      </c>
      <c r="D60" s="315">
        <v>8</v>
      </c>
      <c r="E60" s="315" t="s">
        <v>271</v>
      </c>
      <c r="F60" s="315">
        <v>500</v>
      </c>
      <c r="G60" s="315" t="s">
        <v>239</v>
      </c>
      <c r="H60" s="315">
        <v>12897553</v>
      </c>
      <c r="I60" s="315">
        <v>12898606.279999999</v>
      </c>
      <c r="J60" s="316">
        <v>0</v>
      </c>
      <c r="K60" s="316">
        <v>1553.28</v>
      </c>
    </row>
    <row r="61" spans="1:11">
      <c r="A61" s="315" t="s">
        <v>415</v>
      </c>
      <c r="B61" s="315" t="s">
        <v>256</v>
      </c>
      <c r="C61" s="315">
        <v>5</v>
      </c>
      <c r="D61" s="315">
        <v>6</v>
      </c>
      <c r="E61" s="315" t="s">
        <v>272</v>
      </c>
      <c r="F61" s="315">
        <v>1416.15</v>
      </c>
      <c r="G61" s="315" t="s">
        <v>247</v>
      </c>
      <c r="H61" s="315">
        <v>886033.83</v>
      </c>
      <c r="I61" s="315">
        <v>887449.98</v>
      </c>
      <c r="J61" s="316">
        <v>0</v>
      </c>
      <c r="K61" s="316">
        <v>0</v>
      </c>
    </row>
    <row r="62" spans="1:11">
      <c r="A62" s="315" t="s">
        <v>415</v>
      </c>
      <c r="B62" s="315" t="s">
        <v>256</v>
      </c>
      <c r="C62" s="315">
        <v>8</v>
      </c>
      <c r="D62" s="315">
        <v>2</v>
      </c>
      <c r="E62" s="315" t="s">
        <v>273</v>
      </c>
      <c r="F62" s="315">
        <v>59653.58</v>
      </c>
      <c r="G62" s="315" t="s">
        <v>239</v>
      </c>
      <c r="H62" s="315">
        <v>12379317.16</v>
      </c>
      <c r="I62" s="315">
        <v>12064211.59</v>
      </c>
      <c r="J62" s="316">
        <v>255451.99</v>
      </c>
      <c r="K62" s="316">
        <v>0</v>
      </c>
    </row>
    <row r="63" spans="1:11">
      <c r="A63" s="315" t="s">
        <v>415</v>
      </c>
      <c r="B63" s="315" t="s">
        <v>256</v>
      </c>
      <c r="C63" s="315">
        <v>13</v>
      </c>
      <c r="D63" s="315">
        <v>3</v>
      </c>
      <c r="E63" s="315" t="s">
        <v>274</v>
      </c>
      <c r="F63" s="315">
        <v>1843850.35</v>
      </c>
      <c r="G63" s="315" t="s">
        <v>239</v>
      </c>
      <c r="H63" s="315">
        <v>1924878.9</v>
      </c>
      <c r="I63" s="315">
        <v>287622</v>
      </c>
      <c r="J63" s="316">
        <v>0</v>
      </c>
      <c r="K63" s="316">
        <v>206593.45</v>
      </c>
    </row>
    <row r="64" spans="1:11">
      <c r="A64" s="315" t="s">
        <v>426</v>
      </c>
      <c r="B64" s="315" t="s">
        <v>256</v>
      </c>
      <c r="C64" s="315">
        <v>16</v>
      </c>
      <c r="D64" s="315">
        <v>2</v>
      </c>
      <c r="E64" s="315" t="s">
        <v>275</v>
      </c>
      <c r="F64" s="315">
        <v>30136.37</v>
      </c>
      <c r="G64" s="315" t="s">
        <v>247</v>
      </c>
      <c r="H64" s="315">
        <v>3274624.86</v>
      </c>
      <c r="I64" s="315">
        <v>3389026.19</v>
      </c>
      <c r="J64" s="316">
        <v>0</v>
      </c>
      <c r="K64" s="316">
        <v>84264.960000000006</v>
      </c>
    </row>
    <row r="65" spans="1:11">
      <c r="A65" s="315" t="s">
        <v>415</v>
      </c>
      <c r="B65" s="315" t="s">
        <v>256</v>
      </c>
      <c r="C65" s="315">
        <v>20</v>
      </c>
      <c r="D65" s="315">
        <v>1</v>
      </c>
      <c r="E65" s="315" t="s">
        <v>428</v>
      </c>
      <c r="F65" s="315">
        <v>0</v>
      </c>
      <c r="H65" s="315">
        <v>17104094.16</v>
      </c>
      <c r="I65" s="315">
        <v>17112338.629999999</v>
      </c>
      <c r="J65" s="316">
        <v>0</v>
      </c>
      <c r="K65" s="316">
        <v>8244.4699999999993</v>
      </c>
    </row>
    <row r="66" spans="1:11">
      <c r="A66" s="315" t="s">
        <v>415</v>
      </c>
      <c r="B66" s="315" t="s">
        <v>256</v>
      </c>
      <c r="C66" s="315">
        <v>20</v>
      </c>
      <c r="D66" s="315">
        <v>9</v>
      </c>
      <c r="E66" s="315" t="s">
        <v>276</v>
      </c>
      <c r="F66" s="315">
        <v>36997.71</v>
      </c>
      <c r="G66" s="315" t="s">
        <v>239</v>
      </c>
      <c r="H66" s="315">
        <v>201026.88</v>
      </c>
      <c r="I66" s="315">
        <v>164029.17000000001</v>
      </c>
      <c r="J66" s="316">
        <v>0</v>
      </c>
      <c r="K66" s="316">
        <v>0</v>
      </c>
    </row>
    <row r="67" spans="1:11">
      <c r="A67" s="315" t="s">
        <v>415</v>
      </c>
      <c r="B67" s="315" t="s">
        <v>256</v>
      </c>
      <c r="C67" s="315">
        <v>21</v>
      </c>
      <c r="D67" s="315">
        <v>3</v>
      </c>
      <c r="E67" s="315" t="s">
        <v>277</v>
      </c>
      <c r="F67" s="315">
        <v>163357.46</v>
      </c>
      <c r="G67" s="315" t="s">
        <v>239</v>
      </c>
      <c r="H67" s="315">
        <v>1500</v>
      </c>
      <c r="J67" s="316">
        <v>0</v>
      </c>
      <c r="K67" s="316">
        <v>161857.46</v>
      </c>
    </row>
    <row r="68" spans="1:11">
      <c r="A68" s="315">
        <v>41646</v>
      </c>
      <c r="B68" s="315" t="s">
        <v>256</v>
      </c>
      <c r="C68" s="315">
        <v>21</v>
      </c>
      <c r="D68" s="315">
        <v>4</v>
      </c>
      <c r="E68" s="315" t="s">
        <v>278</v>
      </c>
      <c r="F68" s="315">
        <v>659198.91</v>
      </c>
      <c r="G68" s="315" t="s">
        <v>247</v>
      </c>
      <c r="J68" s="316">
        <v>659198.91</v>
      </c>
      <c r="K68" s="316">
        <v>0</v>
      </c>
    </row>
    <row r="69" spans="1:11">
      <c r="A69" s="315" t="s">
        <v>415</v>
      </c>
      <c r="B69" s="315" t="s">
        <v>256</v>
      </c>
      <c r="C69" s="315">
        <v>24</v>
      </c>
      <c r="D69" s="315">
        <v>6</v>
      </c>
      <c r="E69" s="315" t="s">
        <v>279</v>
      </c>
      <c r="F69" s="315">
        <v>1446.06</v>
      </c>
      <c r="G69" s="315" t="s">
        <v>247</v>
      </c>
      <c r="H69" s="315">
        <v>6445006.3200000003</v>
      </c>
      <c r="I69" s="315">
        <v>6440420.0099999998</v>
      </c>
      <c r="J69" s="316">
        <v>6032.37</v>
      </c>
      <c r="K69" s="316">
        <v>0</v>
      </c>
    </row>
    <row r="70" spans="1:11">
      <c r="A70" s="315" t="s">
        <v>415</v>
      </c>
      <c r="B70" s="315" t="s">
        <v>256</v>
      </c>
      <c r="C70" s="315">
        <v>37</v>
      </c>
      <c r="D70" s="315">
        <v>7</v>
      </c>
      <c r="E70" s="315" t="s">
        <v>408</v>
      </c>
      <c r="F70" s="315">
        <v>0</v>
      </c>
      <c r="H70" s="315">
        <v>107630</v>
      </c>
      <c r="I70" s="315">
        <v>106130</v>
      </c>
      <c r="J70" s="316">
        <v>1500</v>
      </c>
      <c r="K70" s="316">
        <v>0</v>
      </c>
    </row>
    <row r="71" spans="1:11">
      <c r="A71" s="315" t="s">
        <v>415</v>
      </c>
      <c r="B71" s="315" t="s">
        <v>256</v>
      </c>
      <c r="C71" s="315">
        <v>39</v>
      </c>
      <c r="D71" s="315" t="s">
        <v>429</v>
      </c>
      <c r="E71" s="315" t="s">
        <v>280</v>
      </c>
      <c r="F71" s="315">
        <v>0.1</v>
      </c>
      <c r="G71" s="315" t="s">
        <v>239</v>
      </c>
      <c r="H71" s="315">
        <v>0.1</v>
      </c>
      <c r="J71" s="316">
        <v>0</v>
      </c>
      <c r="K71" s="316">
        <v>0</v>
      </c>
    </row>
    <row r="72" spans="1:11">
      <c r="A72" s="315" t="s">
        <v>415</v>
      </c>
      <c r="B72" s="315" t="s">
        <v>256</v>
      </c>
      <c r="C72" s="315">
        <v>43</v>
      </c>
      <c r="D72" s="315">
        <v>0</v>
      </c>
      <c r="E72" s="315" t="s">
        <v>430</v>
      </c>
      <c r="F72" s="315">
        <v>0</v>
      </c>
      <c r="H72" s="315">
        <v>1500</v>
      </c>
      <c r="J72" s="316">
        <v>1500</v>
      </c>
      <c r="K72" s="316">
        <v>0</v>
      </c>
    </row>
    <row r="73" spans="1:11">
      <c r="A73" s="315" t="s">
        <v>431</v>
      </c>
      <c r="B73" s="315" t="s">
        <v>256</v>
      </c>
      <c r="C73" s="315">
        <v>43</v>
      </c>
      <c r="D73" s="315">
        <v>5</v>
      </c>
      <c r="E73" s="315" t="s">
        <v>281</v>
      </c>
      <c r="F73" s="315">
        <v>5891.8</v>
      </c>
      <c r="G73" s="315" t="s">
        <v>239</v>
      </c>
      <c r="H73" s="315">
        <v>5891.8</v>
      </c>
      <c r="J73" s="316">
        <v>0</v>
      </c>
      <c r="K73" s="316">
        <v>0</v>
      </c>
    </row>
    <row r="74" spans="1:11">
      <c r="A74" s="315" t="s">
        <v>415</v>
      </c>
      <c r="B74" s="315" t="s">
        <v>256</v>
      </c>
      <c r="C74" s="315">
        <v>45</v>
      </c>
      <c r="D74" s="315">
        <v>7</v>
      </c>
      <c r="E74" s="315" t="s">
        <v>282</v>
      </c>
      <c r="F74" s="315">
        <v>204985.24</v>
      </c>
      <c r="G74" s="315" t="s">
        <v>239</v>
      </c>
      <c r="H74" s="315">
        <v>45080735.130000003</v>
      </c>
      <c r="I74" s="315">
        <v>45303711.270000003</v>
      </c>
      <c r="J74" s="316">
        <v>0</v>
      </c>
      <c r="K74" s="316">
        <v>427961.38</v>
      </c>
    </row>
    <row r="75" spans="1:11">
      <c r="A75" s="315" t="s">
        <v>415</v>
      </c>
      <c r="B75" s="315" t="s">
        <v>256</v>
      </c>
      <c r="C75" s="315">
        <v>47</v>
      </c>
      <c r="D75" s="315">
        <v>9</v>
      </c>
      <c r="E75" s="315" t="s">
        <v>283</v>
      </c>
      <c r="F75" s="315">
        <v>2226.0100000000002</v>
      </c>
      <c r="G75" s="315" t="s">
        <v>247</v>
      </c>
      <c r="H75" s="315">
        <v>10115.84</v>
      </c>
      <c r="I75" s="315">
        <v>68832.460000000006</v>
      </c>
      <c r="J75" s="316">
        <v>0</v>
      </c>
      <c r="K75" s="316">
        <v>56490.61</v>
      </c>
    </row>
    <row r="76" spans="1:11">
      <c r="A76" s="315">
        <v>41646</v>
      </c>
      <c r="B76" s="315" t="s">
        <v>256</v>
      </c>
      <c r="C76" s="315">
        <v>48</v>
      </c>
      <c r="D76" s="315">
        <v>0</v>
      </c>
      <c r="E76" s="315" t="s">
        <v>218</v>
      </c>
      <c r="F76" s="315">
        <v>0.4</v>
      </c>
      <c r="G76" s="315" t="s">
        <v>247</v>
      </c>
      <c r="J76" s="316">
        <v>0.4</v>
      </c>
      <c r="K76" s="316">
        <v>0</v>
      </c>
    </row>
    <row r="77" spans="1:11">
      <c r="A77" s="315" t="s">
        <v>431</v>
      </c>
      <c r="B77" s="315" t="s">
        <v>256</v>
      </c>
      <c r="C77" s="315">
        <v>48</v>
      </c>
      <c r="D77" s="315">
        <v>1</v>
      </c>
      <c r="E77" s="315" t="s">
        <v>284</v>
      </c>
      <c r="F77" s="315">
        <v>6008.76</v>
      </c>
      <c r="G77" s="315" t="s">
        <v>239</v>
      </c>
      <c r="H77" s="315">
        <v>6008.76</v>
      </c>
      <c r="J77" s="316">
        <v>0</v>
      </c>
      <c r="K77" s="316">
        <v>0</v>
      </c>
    </row>
    <row r="78" spans="1:11">
      <c r="A78" s="315" t="s">
        <v>426</v>
      </c>
      <c r="B78" s="315" t="s">
        <v>256</v>
      </c>
      <c r="C78" s="315">
        <v>48</v>
      </c>
      <c r="D78" s="315">
        <v>2</v>
      </c>
      <c r="E78" s="315" t="s">
        <v>432</v>
      </c>
      <c r="F78" s="315">
        <v>0</v>
      </c>
      <c r="H78" s="315">
        <v>83370.16</v>
      </c>
      <c r="I78" s="315">
        <v>83360</v>
      </c>
      <c r="J78" s="316">
        <v>10.16</v>
      </c>
      <c r="K78" s="316">
        <v>0</v>
      </c>
    </row>
    <row r="79" spans="1:11">
      <c r="A79" s="315" t="s">
        <v>415</v>
      </c>
      <c r="B79" s="315" t="s">
        <v>256</v>
      </c>
      <c r="C79" s="315">
        <v>48</v>
      </c>
      <c r="D79" s="315">
        <v>7</v>
      </c>
      <c r="E79" s="315" t="s">
        <v>285</v>
      </c>
      <c r="F79" s="315">
        <v>48165.22</v>
      </c>
      <c r="G79" s="315" t="s">
        <v>239</v>
      </c>
      <c r="H79" s="315">
        <v>51500</v>
      </c>
      <c r="J79" s="316">
        <v>3334.78</v>
      </c>
      <c r="K79" s="316">
        <v>0</v>
      </c>
    </row>
    <row r="80" spans="1:11">
      <c r="A80" s="315" t="s">
        <v>415</v>
      </c>
      <c r="B80" s="315" t="s">
        <v>256</v>
      </c>
      <c r="C80" s="315">
        <v>49</v>
      </c>
      <c r="D80" s="315">
        <v>0</v>
      </c>
      <c r="E80" s="315" t="s">
        <v>286</v>
      </c>
      <c r="F80" s="315">
        <v>2004.57</v>
      </c>
      <c r="G80" s="315" t="s">
        <v>239</v>
      </c>
      <c r="H80" s="315">
        <v>29562.68</v>
      </c>
      <c r="I80" s="315">
        <v>100000</v>
      </c>
      <c r="J80" s="316">
        <v>0</v>
      </c>
      <c r="K80" s="316">
        <v>72441.89</v>
      </c>
    </row>
    <row r="81" spans="1:11">
      <c r="A81" s="315" t="s">
        <v>415</v>
      </c>
      <c r="B81" s="315" t="s">
        <v>256</v>
      </c>
      <c r="C81" s="315">
        <v>49</v>
      </c>
      <c r="D81" s="315">
        <v>4</v>
      </c>
      <c r="E81" s="315" t="s">
        <v>287</v>
      </c>
      <c r="F81" s="315">
        <v>10350.99</v>
      </c>
      <c r="G81" s="315" t="s">
        <v>239</v>
      </c>
      <c r="H81" s="315">
        <v>42463.97</v>
      </c>
      <c r="J81" s="316">
        <v>32112.98</v>
      </c>
      <c r="K81" s="316">
        <v>0</v>
      </c>
    </row>
    <row r="82" spans="1:11">
      <c r="A82" s="315" t="s">
        <v>415</v>
      </c>
      <c r="B82" s="315" t="s">
        <v>256</v>
      </c>
      <c r="C82" s="315">
        <v>49</v>
      </c>
      <c r="D82" s="315">
        <v>5</v>
      </c>
      <c r="E82" s="315" t="s">
        <v>288</v>
      </c>
      <c r="F82" s="315">
        <v>12944.98</v>
      </c>
      <c r="G82" s="315" t="s">
        <v>247</v>
      </c>
      <c r="H82" s="315">
        <v>27840118.32</v>
      </c>
      <c r="I82" s="315">
        <v>27851564</v>
      </c>
      <c r="J82" s="316">
        <v>1499.3</v>
      </c>
      <c r="K82" s="316">
        <v>0</v>
      </c>
    </row>
    <row r="83" spans="1:11">
      <c r="A83" s="315" t="s">
        <v>415</v>
      </c>
      <c r="B83" s="315" t="s">
        <v>256</v>
      </c>
      <c r="C83" s="315">
        <v>49</v>
      </c>
      <c r="D83" s="315">
        <v>9</v>
      </c>
      <c r="E83" s="315" t="s">
        <v>289</v>
      </c>
      <c r="F83" s="315">
        <v>8045.01</v>
      </c>
      <c r="G83" s="315" t="s">
        <v>239</v>
      </c>
      <c r="H83" s="315">
        <v>1500</v>
      </c>
      <c r="J83" s="316">
        <v>0</v>
      </c>
      <c r="K83" s="316">
        <v>6545.01</v>
      </c>
    </row>
    <row r="84" spans="1:11">
      <c r="A84" s="315" t="s">
        <v>415</v>
      </c>
      <c r="B84" s="315" t="s">
        <v>256</v>
      </c>
      <c r="C84" s="315">
        <v>50</v>
      </c>
      <c r="D84" s="315">
        <v>1</v>
      </c>
      <c r="E84" s="315" t="s">
        <v>290</v>
      </c>
      <c r="F84" s="315">
        <v>27875.93</v>
      </c>
      <c r="G84" s="315" t="s">
        <v>239</v>
      </c>
      <c r="H84" s="315">
        <v>3002580.62</v>
      </c>
      <c r="I84" s="315">
        <v>5540254</v>
      </c>
      <c r="J84" s="316">
        <v>0</v>
      </c>
      <c r="K84" s="316">
        <v>2565549.31</v>
      </c>
    </row>
    <row r="85" spans="1:11">
      <c r="A85" s="315" t="s">
        <v>415</v>
      </c>
      <c r="B85" s="315" t="s">
        <v>256</v>
      </c>
      <c r="C85" s="315">
        <v>50</v>
      </c>
      <c r="D85" s="315">
        <v>4</v>
      </c>
      <c r="E85" s="315" t="s">
        <v>291</v>
      </c>
      <c r="F85" s="315">
        <v>1713.02</v>
      </c>
      <c r="G85" s="315" t="s">
        <v>247</v>
      </c>
      <c r="H85" s="315">
        <v>1500</v>
      </c>
      <c r="J85" s="316">
        <v>3213.02</v>
      </c>
      <c r="K85" s="316">
        <v>0</v>
      </c>
    </row>
    <row r="86" spans="1:11">
      <c r="A86" s="315" t="s">
        <v>415</v>
      </c>
      <c r="B86" s="315" t="s">
        <v>256</v>
      </c>
      <c r="C86" s="315">
        <v>50</v>
      </c>
      <c r="D86" s="315">
        <v>7</v>
      </c>
      <c r="E86" s="315" t="s">
        <v>292</v>
      </c>
      <c r="F86" s="315">
        <v>418.61</v>
      </c>
      <c r="G86" s="315" t="s">
        <v>239</v>
      </c>
      <c r="H86" s="315">
        <v>177457385.63</v>
      </c>
      <c r="I86" s="315">
        <v>177456967.02000001</v>
      </c>
      <c r="J86" s="316">
        <v>0</v>
      </c>
      <c r="K86" s="316">
        <v>0</v>
      </c>
    </row>
    <row r="87" spans="1:11">
      <c r="A87" s="315" t="s">
        <v>415</v>
      </c>
      <c r="B87" s="315" t="s">
        <v>256</v>
      </c>
      <c r="C87" s="315">
        <v>52</v>
      </c>
      <c r="D87" s="315">
        <v>1</v>
      </c>
      <c r="E87" s="315" t="s">
        <v>293</v>
      </c>
      <c r="F87" s="315">
        <v>358.05</v>
      </c>
      <c r="G87" s="315" t="s">
        <v>247</v>
      </c>
      <c r="H87" s="315">
        <v>1500</v>
      </c>
      <c r="J87" s="316">
        <v>1858.05</v>
      </c>
      <c r="K87" s="316">
        <v>0</v>
      </c>
    </row>
    <row r="88" spans="1:11">
      <c r="A88" s="315" t="s">
        <v>415</v>
      </c>
      <c r="B88" s="315" t="s">
        <v>256</v>
      </c>
      <c r="C88" s="315">
        <v>52</v>
      </c>
      <c r="D88" s="315">
        <v>8</v>
      </c>
      <c r="E88" s="315" t="s">
        <v>294</v>
      </c>
      <c r="F88" s="315">
        <v>0.44</v>
      </c>
      <c r="G88" s="315" t="s">
        <v>239</v>
      </c>
      <c r="H88" s="315">
        <v>1500</v>
      </c>
      <c r="J88" s="316">
        <v>1499.56</v>
      </c>
      <c r="K88" s="316">
        <v>0</v>
      </c>
    </row>
    <row r="89" spans="1:11">
      <c r="A89" s="315" t="s">
        <v>415</v>
      </c>
      <c r="B89" s="315" t="s">
        <v>256</v>
      </c>
      <c r="C89" s="315">
        <v>52</v>
      </c>
      <c r="D89" s="315">
        <v>9</v>
      </c>
      <c r="E89" s="315" t="s">
        <v>295</v>
      </c>
      <c r="F89" s="315">
        <v>1600</v>
      </c>
      <c r="G89" s="315" t="s">
        <v>247</v>
      </c>
      <c r="H89" s="315">
        <v>796232</v>
      </c>
      <c r="I89" s="315">
        <v>794716</v>
      </c>
      <c r="J89" s="316">
        <v>3116</v>
      </c>
      <c r="K89" s="316">
        <v>0</v>
      </c>
    </row>
    <row r="90" spans="1:11">
      <c r="A90" s="315" t="s">
        <v>415</v>
      </c>
      <c r="B90" s="315" t="s">
        <v>256</v>
      </c>
      <c r="C90" s="315">
        <v>53</v>
      </c>
      <c r="D90" s="315">
        <v>0</v>
      </c>
      <c r="E90" s="315" t="s">
        <v>296</v>
      </c>
      <c r="F90" s="315">
        <v>15066.63</v>
      </c>
      <c r="G90" s="315" t="s">
        <v>239</v>
      </c>
      <c r="H90" s="315">
        <v>4764851.05</v>
      </c>
      <c r="I90" s="315">
        <v>4755596.22</v>
      </c>
      <c r="J90" s="316">
        <v>0</v>
      </c>
      <c r="K90" s="316">
        <v>5811.8</v>
      </c>
    </row>
    <row r="91" spans="1:11">
      <c r="A91" s="315" t="s">
        <v>433</v>
      </c>
      <c r="B91" s="315" t="s">
        <v>256</v>
      </c>
      <c r="C91" s="315">
        <v>53</v>
      </c>
      <c r="D91" s="315">
        <v>1</v>
      </c>
      <c r="E91" s="315" t="s">
        <v>297</v>
      </c>
      <c r="F91" s="315">
        <v>147167.54</v>
      </c>
      <c r="G91" s="315" t="s">
        <v>247</v>
      </c>
      <c r="H91" s="315">
        <v>19367048.879999999</v>
      </c>
      <c r="I91" s="315">
        <v>19523893.91</v>
      </c>
      <c r="J91" s="316">
        <v>0</v>
      </c>
      <c r="K91" s="316">
        <v>9677.49</v>
      </c>
    </row>
    <row r="92" spans="1:11">
      <c r="A92" s="315">
        <v>42344</v>
      </c>
      <c r="B92" s="315" t="s">
        <v>256</v>
      </c>
      <c r="C92" s="315">
        <v>53</v>
      </c>
      <c r="D92" s="315">
        <v>2</v>
      </c>
      <c r="E92" s="315" t="s">
        <v>434</v>
      </c>
      <c r="F92" s="315">
        <v>0</v>
      </c>
      <c r="H92" s="315">
        <v>1134845.32</v>
      </c>
      <c r="I92" s="315">
        <v>1154714.2</v>
      </c>
      <c r="J92" s="316">
        <v>0</v>
      </c>
      <c r="K92" s="316">
        <v>19868.88</v>
      </c>
    </row>
    <row r="93" spans="1:11">
      <c r="A93" s="315">
        <v>42253</v>
      </c>
      <c r="B93" s="315" t="s">
        <v>256</v>
      </c>
      <c r="C93" s="315">
        <v>53</v>
      </c>
      <c r="D93" s="315">
        <v>3</v>
      </c>
      <c r="E93" s="315" t="s">
        <v>435</v>
      </c>
      <c r="F93" s="315">
        <v>0</v>
      </c>
      <c r="H93" s="315">
        <v>3597008.22</v>
      </c>
      <c r="I93" s="315">
        <v>3610083.63</v>
      </c>
      <c r="J93" s="316">
        <v>0</v>
      </c>
      <c r="K93" s="316">
        <v>13075.41</v>
      </c>
    </row>
    <row r="94" spans="1:11">
      <c r="A94" s="315">
        <v>42130</v>
      </c>
      <c r="B94" s="315" t="s">
        <v>256</v>
      </c>
      <c r="C94" s="315">
        <v>53</v>
      </c>
      <c r="D94" s="315">
        <v>4</v>
      </c>
      <c r="E94" s="315" t="s">
        <v>436</v>
      </c>
      <c r="F94" s="315">
        <v>0</v>
      </c>
      <c r="H94" s="315">
        <v>116506.81</v>
      </c>
      <c r="I94" s="315">
        <v>123173.8</v>
      </c>
      <c r="J94" s="316">
        <v>0</v>
      </c>
      <c r="K94" s="316">
        <v>6666.99</v>
      </c>
    </row>
    <row r="95" spans="1:11">
      <c r="A95" s="315" t="s">
        <v>437</v>
      </c>
      <c r="B95" s="315" t="s">
        <v>256</v>
      </c>
      <c r="C95" s="315">
        <v>53</v>
      </c>
      <c r="D95" s="315">
        <v>5</v>
      </c>
      <c r="E95" s="315" t="s">
        <v>438</v>
      </c>
      <c r="F95" s="315">
        <v>0</v>
      </c>
      <c r="H95" s="315">
        <v>3107537.29</v>
      </c>
      <c r="I95" s="315">
        <v>3060680</v>
      </c>
      <c r="J95" s="316">
        <v>46857.29</v>
      </c>
      <c r="K95" s="316">
        <v>0</v>
      </c>
    </row>
    <row r="96" spans="1:11">
      <c r="A96" s="315" t="s">
        <v>439</v>
      </c>
      <c r="B96" s="315" t="s">
        <v>256</v>
      </c>
      <c r="C96" s="315">
        <v>53</v>
      </c>
      <c r="D96" s="315">
        <v>6</v>
      </c>
      <c r="E96" s="315" t="s">
        <v>440</v>
      </c>
      <c r="F96" s="315">
        <v>0</v>
      </c>
      <c r="H96" s="315">
        <v>159071183.41999999</v>
      </c>
      <c r="I96" s="315">
        <v>159071183.44</v>
      </c>
      <c r="J96" s="316">
        <v>0</v>
      </c>
      <c r="K96" s="316">
        <v>0.02</v>
      </c>
    </row>
    <row r="97" spans="1:11">
      <c r="A97" s="315">
        <v>42344</v>
      </c>
      <c r="B97" s="315" t="s">
        <v>256</v>
      </c>
      <c r="C97" s="315">
        <v>53</v>
      </c>
      <c r="D97" s="315">
        <v>7</v>
      </c>
      <c r="E97" s="315" t="s">
        <v>441</v>
      </c>
      <c r="F97" s="315">
        <v>0</v>
      </c>
      <c r="H97" s="315">
        <v>572667.36</v>
      </c>
      <c r="I97" s="315">
        <v>599436.30000000005</v>
      </c>
      <c r="J97" s="316">
        <v>0</v>
      </c>
      <c r="K97" s="316">
        <v>26768.94</v>
      </c>
    </row>
    <row r="98" spans="1:11">
      <c r="A98" s="315" t="s">
        <v>415</v>
      </c>
      <c r="B98" s="315" t="s">
        <v>256</v>
      </c>
      <c r="C98" s="315">
        <v>53</v>
      </c>
      <c r="D98" s="315">
        <v>8</v>
      </c>
      <c r="E98" s="315" t="s">
        <v>440</v>
      </c>
      <c r="F98" s="315">
        <v>0</v>
      </c>
      <c r="H98" s="315">
        <v>73186823.299999997</v>
      </c>
      <c r="I98" s="315">
        <v>72899727.590000004</v>
      </c>
      <c r="J98" s="316">
        <v>287095.71000000002</v>
      </c>
      <c r="K98" s="316">
        <v>0</v>
      </c>
    </row>
    <row r="99" spans="1:11">
      <c r="A99" s="315" t="s">
        <v>415</v>
      </c>
      <c r="B99" s="315" t="s">
        <v>256</v>
      </c>
      <c r="C99" s="315">
        <v>53</v>
      </c>
      <c r="D99" s="315">
        <v>9</v>
      </c>
      <c r="E99" s="315" t="s">
        <v>442</v>
      </c>
      <c r="F99" s="315">
        <v>0</v>
      </c>
      <c r="H99" s="315">
        <v>1505</v>
      </c>
      <c r="I99" s="315">
        <v>43463</v>
      </c>
      <c r="J99" s="316">
        <v>0</v>
      </c>
      <c r="K99" s="316">
        <v>41958</v>
      </c>
    </row>
    <row r="100" spans="1:11">
      <c r="A100" s="315" t="s">
        <v>415</v>
      </c>
      <c r="B100" s="315" t="s">
        <v>256</v>
      </c>
      <c r="C100" s="315">
        <v>54</v>
      </c>
      <c r="D100" s="315">
        <v>0</v>
      </c>
      <c r="E100" s="315" t="s">
        <v>443</v>
      </c>
      <c r="F100" s="315">
        <v>0</v>
      </c>
      <c r="H100" s="315">
        <v>1500</v>
      </c>
      <c r="J100" s="316">
        <v>1500</v>
      </c>
      <c r="K100" s="316">
        <v>0</v>
      </c>
    </row>
    <row r="101" spans="1:11">
      <c r="A101" s="315" t="s">
        <v>415</v>
      </c>
      <c r="B101" s="315" t="s">
        <v>256</v>
      </c>
      <c r="C101" s="315" t="s">
        <v>444</v>
      </c>
      <c r="D101" s="315" t="s">
        <v>445</v>
      </c>
      <c r="E101" s="315" t="s">
        <v>298</v>
      </c>
      <c r="F101" s="315">
        <v>8419222</v>
      </c>
      <c r="G101" s="315" t="s">
        <v>247</v>
      </c>
      <c r="H101" s="315">
        <v>5236908663.5699997</v>
      </c>
      <c r="I101" s="315">
        <v>5237611736.5699997</v>
      </c>
      <c r="J101" s="316">
        <v>7716149</v>
      </c>
      <c r="K101" s="316">
        <v>0</v>
      </c>
    </row>
    <row r="102" spans="1:11">
      <c r="A102" s="315" t="s">
        <v>232</v>
      </c>
      <c r="B102" s="315" t="s">
        <v>233</v>
      </c>
      <c r="C102" s="315" t="s">
        <v>233</v>
      </c>
      <c r="D102" s="315" t="s">
        <v>411</v>
      </c>
      <c r="E102" s="315" t="s">
        <v>234</v>
      </c>
      <c r="F102" s="315" t="s">
        <v>235</v>
      </c>
      <c r="G102" s="315" t="s">
        <v>233</v>
      </c>
      <c r="H102" s="315" t="s">
        <v>236</v>
      </c>
      <c r="I102" s="315" t="s">
        <v>236</v>
      </c>
      <c r="J102" s="316" t="s">
        <v>235</v>
      </c>
      <c r="K102" s="316" t="s">
        <v>235</v>
      </c>
    </row>
    <row r="103" spans="1:11">
      <c r="E103" s="315" t="s">
        <v>75</v>
      </c>
      <c r="F103" s="315">
        <v>33517757.91</v>
      </c>
      <c r="G103" s="315" t="s">
        <v>239</v>
      </c>
      <c r="H103" s="315">
        <v>19271707886.549999</v>
      </c>
      <c r="I103" s="315">
        <v>19259443595.189999</v>
      </c>
      <c r="J103" s="316">
        <v>22032070.239999998</v>
      </c>
      <c r="K103" s="316">
        <v>43285536.789999999</v>
      </c>
    </row>
    <row r="105" spans="1:11">
      <c r="A105" s="315" t="s">
        <v>415</v>
      </c>
      <c r="B105" s="315" t="s">
        <v>299</v>
      </c>
      <c r="C105" s="315" t="s">
        <v>446</v>
      </c>
      <c r="D105" s="315">
        <v>38</v>
      </c>
      <c r="E105" s="315" t="s">
        <v>300</v>
      </c>
      <c r="F105" s="315">
        <v>2578321.7799999998</v>
      </c>
      <c r="G105" s="315" t="s">
        <v>239</v>
      </c>
      <c r="H105" s="315">
        <v>2549923.7799999998</v>
      </c>
      <c r="I105" s="315">
        <v>2497000</v>
      </c>
      <c r="J105" s="315">
        <v>0</v>
      </c>
      <c r="K105" s="316">
        <v>2525398</v>
      </c>
    </row>
    <row r="106" spans="1:11">
      <c r="A106" s="315" t="s">
        <v>447</v>
      </c>
      <c r="B106" s="315" t="s">
        <v>299</v>
      </c>
      <c r="C106" s="315" t="s">
        <v>446</v>
      </c>
      <c r="D106" s="315">
        <v>52</v>
      </c>
      <c r="E106" s="315" t="s">
        <v>448</v>
      </c>
      <c r="F106" s="315">
        <v>130469</v>
      </c>
      <c r="G106" s="315" t="s">
        <v>239</v>
      </c>
      <c r="H106" s="315">
        <v>130467</v>
      </c>
      <c r="J106" s="315">
        <v>0</v>
      </c>
      <c r="K106" s="316">
        <v>2</v>
      </c>
    </row>
    <row r="107" spans="1:11">
      <c r="A107" s="315">
        <v>41646</v>
      </c>
      <c r="B107" s="315" t="s">
        <v>299</v>
      </c>
      <c r="C107" s="315" t="s">
        <v>446</v>
      </c>
      <c r="D107" s="315">
        <v>53</v>
      </c>
      <c r="E107" s="315" t="s">
        <v>449</v>
      </c>
      <c r="F107" s="315">
        <v>8353</v>
      </c>
      <c r="G107" s="315" t="s">
        <v>239</v>
      </c>
      <c r="J107" s="315">
        <v>0</v>
      </c>
      <c r="K107" s="316">
        <v>8353</v>
      </c>
    </row>
    <row r="108" spans="1:11">
      <c r="A108" s="315" t="s">
        <v>232</v>
      </c>
      <c r="B108" s="315" t="s">
        <v>233</v>
      </c>
      <c r="C108" s="315" t="s">
        <v>233</v>
      </c>
      <c r="D108" s="315" t="s">
        <v>411</v>
      </c>
      <c r="E108" s="315" t="s">
        <v>234</v>
      </c>
      <c r="F108" s="315" t="s">
        <v>235</v>
      </c>
      <c r="G108" s="315" t="s">
        <v>233</v>
      </c>
      <c r="H108" s="315" t="s">
        <v>236</v>
      </c>
      <c r="I108" s="315" t="s">
        <v>236</v>
      </c>
      <c r="J108" s="315" t="s">
        <v>235</v>
      </c>
      <c r="K108" s="316" t="s">
        <v>235</v>
      </c>
    </row>
    <row r="109" spans="1:11">
      <c r="E109" s="315" t="s">
        <v>301</v>
      </c>
      <c r="F109" s="315">
        <v>2717143.78</v>
      </c>
      <c r="G109" s="315" t="s">
        <v>239</v>
      </c>
      <c r="H109" s="315">
        <v>2680390.7799999998</v>
      </c>
      <c r="I109" s="315">
        <v>2497000</v>
      </c>
      <c r="J109" s="315">
        <v>0</v>
      </c>
      <c r="K109" s="316">
        <v>2533753</v>
      </c>
    </row>
    <row r="111" spans="1:11">
      <c r="A111" s="315">
        <v>41646</v>
      </c>
      <c r="B111" s="315" t="s">
        <v>302</v>
      </c>
      <c r="C111" s="315" t="s">
        <v>302</v>
      </c>
      <c r="D111" s="315">
        <v>1</v>
      </c>
      <c r="E111" s="315" t="s">
        <v>303</v>
      </c>
      <c r="F111" s="315">
        <v>70211.63</v>
      </c>
      <c r="G111" s="315" t="s">
        <v>247</v>
      </c>
      <c r="J111" s="316">
        <v>70211.63</v>
      </c>
      <c r="K111" s="315">
        <v>0</v>
      </c>
    </row>
    <row r="112" spans="1:11">
      <c r="A112" s="315">
        <v>42343</v>
      </c>
      <c r="B112" s="315" t="s">
        <v>302</v>
      </c>
      <c r="C112" s="315" t="s">
        <v>302</v>
      </c>
      <c r="D112" s="315">
        <v>7</v>
      </c>
      <c r="E112" s="315" t="s">
        <v>304</v>
      </c>
      <c r="F112" s="315">
        <v>75218.009999999995</v>
      </c>
      <c r="G112" s="315" t="s">
        <v>247</v>
      </c>
      <c r="I112" s="315">
        <v>75218.009999999995</v>
      </c>
      <c r="J112" s="316">
        <v>0</v>
      </c>
      <c r="K112" s="315">
        <v>0</v>
      </c>
    </row>
    <row r="113" spans="1:11">
      <c r="A113" s="315" t="s">
        <v>415</v>
      </c>
      <c r="B113" s="315" t="s">
        <v>302</v>
      </c>
      <c r="C113" s="315" t="s">
        <v>302</v>
      </c>
      <c r="D113" s="315">
        <v>13</v>
      </c>
      <c r="E113" s="315" t="s">
        <v>305</v>
      </c>
      <c r="F113" s="315">
        <v>36282253.950000003</v>
      </c>
      <c r="G113" s="315" t="s">
        <v>247</v>
      </c>
      <c r="H113" s="315">
        <v>697299072.24000001</v>
      </c>
      <c r="I113" s="315">
        <v>709966968.44000006</v>
      </c>
      <c r="J113" s="316">
        <v>23614357.75</v>
      </c>
      <c r="K113" s="315">
        <v>0</v>
      </c>
    </row>
    <row r="114" spans="1:11">
      <c r="A114" s="315" t="s">
        <v>415</v>
      </c>
      <c r="B114" s="315" t="s">
        <v>302</v>
      </c>
      <c r="C114" s="315" t="s">
        <v>302</v>
      </c>
      <c r="D114" s="315">
        <v>14</v>
      </c>
      <c r="E114" s="315" t="s">
        <v>305</v>
      </c>
      <c r="F114" s="315">
        <v>8232057.0800000001</v>
      </c>
      <c r="G114" s="315" t="s">
        <v>247</v>
      </c>
      <c r="H114" s="315">
        <v>5046535.71</v>
      </c>
      <c r="I114" s="315">
        <v>3013869.49</v>
      </c>
      <c r="J114" s="316">
        <v>10264723.300000001</v>
      </c>
      <c r="K114" s="315">
        <v>0</v>
      </c>
    </row>
    <row r="115" spans="1:11">
      <c r="A115" s="315" t="s">
        <v>415</v>
      </c>
      <c r="B115" s="315" t="s">
        <v>302</v>
      </c>
      <c r="C115" s="315" t="s">
        <v>302</v>
      </c>
      <c r="D115" s="315">
        <v>15</v>
      </c>
      <c r="E115" s="315" t="s">
        <v>306</v>
      </c>
      <c r="F115" s="315">
        <v>0</v>
      </c>
      <c r="H115" s="315">
        <v>1601511.91</v>
      </c>
      <c r="I115" s="317">
        <v>1601511.91</v>
      </c>
      <c r="J115" s="316">
        <v>0</v>
      </c>
      <c r="K115" s="315">
        <v>0</v>
      </c>
    </row>
    <row r="116" spans="1:11">
      <c r="A116" s="315" t="s">
        <v>415</v>
      </c>
      <c r="B116" s="315" t="s">
        <v>302</v>
      </c>
      <c r="C116" s="315" t="s">
        <v>302</v>
      </c>
      <c r="D116" s="315">
        <v>16</v>
      </c>
      <c r="E116" s="315" t="s">
        <v>307</v>
      </c>
      <c r="F116" s="315">
        <v>0</v>
      </c>
      <c r="H116" s="315">
        <v>714775.09</v>
      </c>
      <c r="I116" s="317">
        <v>714775.09</v>
      </c>
      <c r="J116" s="316">
        <v>0</v>
      </c>
      <c r="K116" s="315">
        <v>0</v>
      </c>
    </row>
    <row r="117" spans="1:11">
      <c r="A117" s="315" t="s">
        <v>232</v>
      </c>
      <c r="B117" s="315" t="s">
        <v>233</v>
      </c>
      <c r="C117" s="315" t="s">
        <v>233</v>
      </c>
      <c r="D117" s="315" t="s">
        <v>411</v>
      </c>
      <c r="E117" s="315" t="s">
        <v>234</v>
      </c>
      <c r="F117" s="315" t="s">
        <v>235</v>
      </c>
      <c r="G117" s="315" t="s">
        <v>233</v>
      </c>
      <c r="H117" s="315" t="s">
        <v>236</v>
      </c>
      <c r="I117" s="315" t="s">
        <v>236</v>
      </c>
      <c r="J117" s="316" t="s">
        <v>235</v>
      </c>
      <c r="K117" s="315" t="s">
        <v>235</v>
      </c>
    </row>
    <row r="118" spans="1:11">
      <c r="E118" s="315" t="s">
        <v>308</v>
      </c>
      <c r="F118" s="315">
        <v>44659740.670000002</v>
      </c>
      <c r="G118" s="315" t="s">
        <v>247</v>
      </c>
      <c r="H118" s="315">
        <v>704661894.95000005</v>
      </c>
      <c r="I118" s="315">
        <v>715372342.94000006</v>
      </c>
      <c r="J118" s="316">
        <v>33949292.68</v>
      </c>
      <c r="K118" s="315">
        <v>0</v>
      </c>
    </row>
    <row r="120" spans="1:11">
      <c r="A120" s="315" t="s">
        <v>415</v>
      </c>
      <c r="B120" s="315" t="s">
        <v>309</v>
      </c>
      <c r="C120" s="315" t="s">
        <v>309</v>
      </c>
      <c r="D120" s="315">
        <v>1</v>
      </c>
      <c r="E120" s="315" t="s">
        <v>310</v>
      </c>
      <c r="F120" s="315">
        <v>0</v>
      </c>
      <c r="H120" s="315">
        <v>8393.61</v>
      </c>
      <c r="I120" s="315">
        <v>1978951.44</v>
      </c>
      <c r="J120" s="315">
        <v>0</v>
      </c>
      <c r="K120" s="316">
        <v>1970557.83</v>
      </c>
    </row>
    <row r="121" spans="1:11">
      <c r="A121" s="315" t="s">
        <v>415</v>
      </c>
      <c r="B121" s="315" t="s">
        <v>309</v>
      </c>
      <c r="C121" s="315" t="s">
        <v>309</v>
      </c>
      <c r="D121" s="315">
        <v>2</v>
      </c>
      <c r="E121" s="315" t="s">
        <v>450</v>
      </c>
      <c r="F121" s="315">
        <v>0</v>
      </c>
      <c r="H121" s="315">
        <v>38075</v>
      </c>
      <c r="I121" s="315">
        <v>38075</v>
      </c>
      <c r="J121" s="315">
        <v>0</v>
      </c>
      <c r="K121" s="316">
        <v>0</v>
      </c>
    </row>
    <row r="122" spans="1:11">
      <c r="A122" s="315" t="s">
        <v>415</v>
      </c>
      <c r="B122" s="315" t="s">
        <v>309</v>
      </c>
      <c r="C122" s="315" t="s">
        <v>309</v>
      </c>
      <c r="D122" s="315">
        <v>5</v>
      </c>
      <c r="E122" s="315" t="s">
        <v>360</v>
      </c>
      <c r="F122" s="315">
        <v>0</v>
      </c>
      <c r="I122" s="315">
        <v>476185.3</v>
      </c>
      <c r="J122" s="315">
        <v>0</v>
      </c>
      <c r="K122" s="316">
        <v>476185.3</v>
      </c>
    </row>
    <row r="123" spans="1:11">
      <c r="A123" s="315" t="s">
        <v>415</v>
      </c>
      <c r="B123" s="315" t="s">
        <v>309</v>
      </c>
      <c r="C123" s="315" t="s">
        <v>309</v>
      </c>
      <c r="D123" s="315">
        <v>6</v>
      </c>
      <c r="E123" s="315" t="s">
        <v>370</v>
      </c>
      <c r="F123" s="315">
        <v>0</v>
      </c>
      <c r="I123" s="315">
        <v>1632231.59</v>
      </c>
      <c r="J123" s="315">
        <v>0</v>
      </c>
      <c r="K123" s="316">
        <v>1632231.59</v>
      </c>
    </row>
    <row r="124" spans="1:11">
      <c r="A124" s="315" t="s">
        <v>415</v>
      </c>
      <c r="B124" s="315" t="s">
        <v>309</v>
      </c>
      <c r="C124" s="315" t="s">
        <v>309</v>
      </c>
      <c r="D124" s="315">
        <v>7</v>
      </c>
      <c r="E124" s="315" t="s">
        <v>451</v>
      </c>
      <c r="F124" s="315">
        <v>0</v>
      </c>
      <c r="I124" s="315">
        <v>2084658.32</v>
      </c>
      <c r="J124" s="315">
        <v>0</v>
      </c>
      <c r="K124" s="316">
        <v>2084658.32</v>
      </c>
    </row>
    <row r="125" spans="1:11">
      <c r="A125" s="315" t="s">
        <v>232</v>
      </c>
      <c r="B125" s="315" t="s">
        <v>233</v>
      </c>
      <c r="C125" s="315" t="s">
        <v>233</v>
      </c>
      <c r="D125" s="315" t="s">
        <v>411</v>
      </c>
      <c r="E125" s="315" t="s">
        <v>234</v>
      </c>
      <c r="F125" s="315" t="s">
        <v>235</v>
      </c>
      <c r="G125" s="315" t="s">
        <v>233</v>
      </c>
      <c r="H125" s="315" t="s">
        <v>236</v>
      </c>
      <c r="I125" s="315" t="s">
        <v>236</v>
      </c>
      <c r="J125" s="315" t="s">
        <v>235</v>
      </c>
      <c r="K125" s="316" t="s">
        <v>235</v>
      </c>
    </row>
    <row r="126" spans="1:11">
      <c r="E126" s="315" t="s">
        <v>311</v>
      </c>
      <c r="F126" s="315">
        <v>0</v>
      </c>
      <c r="H126" s="315">
        <v>46468.61</v>
      </c>
      <c r="I126" s="315">
        <v>6210101.6500000004</v>
      </c>
      <c r="J126" s="315">
        <v>0</v>
      </c>
      <c r="K126" s="316">
        <v>6163633.04</v>
      </c>
    </row>
    <row r="128" spans="1:11">
      <c r="A128" s="315" t="s">
        <v>433</v>
      </c>
      <c r="B128" s="315" t="s">
        <v>312</v>
      </c>
      <c r="C128" s="315" t="s">
        <v>446</v>
      </c>
      <c r="D128" s="315">
        <v>3</v>
      </c>
      <c r="E128" s="315" t="s">
        <v>313</v>
      </c>
      <c r="F128" s="315">
        <v>0</v>
      </c>
      <c r="H128" s="315">
        <v>894000</v>
      </c>
      <c r="J128" s="316">
        <v>894000</v>
      </c>
      <c r="K128" s="315">
        <v>0</v>
      </c>
    </row>
    <row r="129" spans="1:11">
      <c r="A129" s="315" t="s">
        <v>232</v>
      </c>
      <c r="B129" s="315" t="s">
        <v>233</v>
      </c>
      <c r="C129" s="315" t="s">
        <v>233</v>
      </c>
      <c r="D129" s="315" t="s">
        <v>411</v>
      </c>
      <c r="E129" s="315" t="s">
        <v>234</v>
      </c>
      <c r="F129" s="315" t="s">
        <v>235</v>
      </c>
      <c r="G129" s="315" t="s">
        <v>233</v>
      </c>
      <c r="H129" s="315" t="s">
        <v>236</v>
      </c>
      <c r="I129" s="315" t="s">
        <v>236</v>
      </c>
      <c r="J129" s="316" t="s">
        <v>235</v>
      </c>
      <c r="K129" s="315" t="s">
        <v>235</v>
      </c>
    </row>
    <row r="130" spans="1:11">
      <c r="E130" s="315" t="s">
        <v>314</v>
      </c>
      <c r="F130" s="315">
        <v>0</v>
      </c>
      <c r="H130" s="315">
        <v>894000</v>
      </c>
      <c r="J130" s="316">
        <v>894000</v>
      </c>
      <c r="K130" s="315">
        <v>0</v>
      </c>
    </row>
    <row r="132" spans="1:11">
      <c r="A132" s="315" t="s">
        <v>426</v>
      </c>
      <c r="B132" s="315" t="s">
        <v>315</v>
      </c>
      <c r="C132" s="315" t="s">
        <v>446</v>
      </c>
      <c r="D132" s="315">
        <v>4</v>
      </c>
      <c r="E132" s="315" t="s">
        <v>316</v>
      </c>
      <c r="F132" s="315">
        <v>0</v>
      </c>
      <c r="H132" s="315">
        <v>118550</v>
      </c>
      <c r="J132" s="316">
        <v>118550</v>
      </c>
      <c r="K132" s="315">
        <v>0</v>
      </c>
    </row>
    <row r="133" spans="1:11">
      <c r="A133" s="315" t="s">
        <v>452</v>
      </c>
      <c r="B133" s="315" t="s">
        <v>315</v>
      </c>
      <c r="C133" s="315" t="s">
        <v>446</v>
      </c>
      <c r="D133" s="315">
        <v>6</v>
      </c>
      <c r="E133" s="315" t="s">
        <v>317</v>
      </c>
      <c r="F133" s="315">
        <v>0</v>
      </c>
      <c r="H133" s="315">
        <v>8640</v>
      </c>
      <c r="J133" s="316">
        <v>8640</v>
      </c>
      <c r="K133" s="315">
        <v>0</v>
      </c>
    </row>
    <row r="134" spans="1:11">
      <c r="A134" s="315" t="s">
        <v>232</v>
      </c>
      <c r="B134" s="315" t="s">
        <v>233</v>
      </c>
      <c r="C134" s="315" t="s">
        <v>233</v>
      </c>
      <c r="D134" s="315" t="s">
        <v>411</v>
      </c>
      <c r="E134" s="315" t="s">
        <v>234</v>
      </c>
      <c r="F134" s="315" t="s">
        <v>235</v>
      </c>
      <c r="G134" s="315" t="s">
        <v>233</v>
      </c>
      <c r="H134" s="315" t="s">
        <v>236</v>
      </c>
      <c r="I134" s="315" t="s">
        <v>236</v>
      </c>
      <c r="J134" s="316" t="s">
        <v>235</v>
      </c>
      <c r="K134" s="315" t="s">
        <v>235</v>
      </c>
    </row>
    <row r="135" spans="1:11">
      <c r="E135" s="315" t="s">
        <v>318</v>
      </c>
      <c r="F135" s="315">
        <v>0</v>
      </c>
      <c r="H135" s="315">
        <v>127190</v>
      </c>
      <c r="J135" s="316">
        <v>127190</v>
      </c>
      <c r="K135" s="315">
        <v>0</v>
      </c>
    </row>
    <row r="137" spans="1:11">
      <c r="A137" s="315" t="s">
        <v>453</v>
      </c>
      <c r="B137" s="315" t="s">
        <v>319</v>
      </c>
      <c r="C137" s="315" t="s">
        <v>446</v>
      </c>
      <c r="D137" s="315">
        <v>8</v>
      </c>
      <c r="E137" s="315" t="s">
        <v>320</v>
      </c>
      <c r="F137" s="315">
        <v>0</v>
      </c>
      <c r="H137" s="315">
        <v>154910</v>
      </c>
      <c r="J137" s="316">
        <v>154910</v>
      </c>
      <c r="K137" s="315">
        <v>0</v>
      </c>
    </row>
    <row r="138" spans="1:11">
      <c r="A138" s="315" t="s">
        <v>415</v>
      </c>
      <c r="B138" s="315" t="s">
        <v>319</v>
      </c>
      <c r="C138" s="315" t="s">
        <v>446</v>
      </c>
      <c r="D138" s="315">
        <v>41</v>
      </c>
      <c r="E138" s="315" t="s">
        <v>361</v>
      </c>
      <c r="F138" s="315">
        <v>0</v>
      </c>
      <c r="H138" s="315">
        <v>47619</v>
      </c>
      <c r="J138" s="316">
        <v>47619</v>
      </c>
      <c r="K138" s="315">
        <v>0</v>
      </c>
    </row>
    <row r="139" spans="1:11">
      <c r="A139" s="315" t="s">
        <v>454</v>
      </c>
      <c r="B139" s="315" t="s">
        <v>319</v>
      </c>
      <c r="C139" s="315" t="s">
        <v>446</v>
      </c>
      <c r="D139" s="315">
        <v>42</v>
      </c>
      <c r="E139" s="315" t="s">
        <v>455</v>
      </c>
      <c r="F139" s="315">
        <v>0</v>
      </c>
      <c r="H139" s="315">
        <v>2048</v>
      </c>
      <c r="J139" s="316">
        <v>2048</v>
      </c>
      <c r="K139" s="315">
        <v>0</v>
      </c>
    </row>
    <row r="140" spans="1:11">
      <c r="A140" s="315">
        <v>41924</v>
      </c>
      <c r="B140" s="315" t="s">
        <v>319</v>
      </c>
      <c r="C140" s="315" t="s">
        <v>446</v>
      </c>
      <c r="D140" s="315">
        <v>43</v>
      </c>
      <c r="E140" s="315" t="s">
        <v>456</v>
      </c>
      <c r="F140" s="315">
        <v>0</v>
      </c>
      <c r="H140" s="315">
        <v>20600</v>
      </c>
      <c r="J140" s="316">
        <v>20600</v>
      </c>
      <c r="K140" s="315">
        <v>0</v>
      </c>
    </row>
    <row r="141" spans="1:11">
      <c r="A141" s="315" t="s">
        <v>453</v>
      </c>
      <c r="B141" s="315" t="s">
        <v>319</v>
      </c>
      <c r="C141" s="315" t="s">
        <v>446</v>
      </c>
      <c r="D141" s="315">
        <v>47</v>
      </c>
      <c r="E141" s="315" t="s">
        <v>457</v>
      </c>
      <c r="F141" s="315">
        <v>0</v>
      </c>
      <c r="H141" s="315">
        <v>9000</v>
      </c>
      <c r="J141" s="316">
        <v>9000</v>
      </c>
      <c r="K141" s="315">
        <v>0</v>
      </c>
    </row>
    <row r="142" spans="1:11">
      <c r="A142" s="315" t="s">
        <v>232</v>
      </c>
      <c r="B142" s="315" t="s">
        <v>233</v>
      </c>
      <c r="C142" s="315" t="s">
        <v>233</v>
      </c>
      <c r="D142" s="315" t="s">
        <v>411</v>
      </c>
      <c r="E142" s="315" t="s">
        <v>234</v>
      </c>
      <c r="F142" s="315" t="s">
        <v>235</v>
      </c>
      <c r="G142" s="315" t="s">
        <v>233</v>
      </c>
      <c r="H142" s="315" t="s">
        <v>236</v>
      </c>
      <c r="I142" s="315" t="s">
        <v>236</v>
      </c>
      <c r="J142" s="316" t="s">
        <v>235</v>
      </c>
      <c r="K142" s="315" t="s">
        <v>235</v>
      </c>
    </row>
    <row r="143" spans="1:11">
      <c r="E143" s="315" t="s">
        <v>321</v>
      </c>
      <c r="F143" s="315">
        <v>0</v>
      </c>
      <c r="H143" s="315">
        <v>234177</v>
      </c>
      <c r="J143" s="316">
        <v>234177</v>
      </c>
      <c r="K143" s="315">
        <v>0</v>
      </c>
    </row>
    <row r="145" spans="1:11">
      <c r="A145" s="315">
        <v>42313</v>
      </c>
      <c r="B145" s="315" t="s">
        <v>322</v>
      </c>
      <c r="C145" s="315" t="s">
        <v>446</v>
      </c>
      <c r="D145" s="315">
        <v>9</v>
      </c>
      <c r="E145" s="315" t="s">
        <v>323</v>
      </c>
      <c r="F145" s="315">
        <v>0</v>
      </c>
      <c r="H145" s="315">
        <v>28478</v>
      </c>
      <c r="J145" s="316">
        <v>28478</v>
      </c>
      <c r="K145" s="315">
        <v>0</v>
      </c>
    </row>
    <row r="146" spans="1:11">
      <c r="A146" s="315" t="s">
        <v>232</v>
      </c>
      <c r="B146" s="315" t="s">
        <v>233</v>
      </c>
      <c r="C146" s="315" t="s">
        <v>233</v>
      </c>
      <c r="D146" s="315" t="s">
        <v>411</v>
      </c>
      <c r="E146" s="315" t="s">
        <v>234</v>
      </c>
      <c r="F146" s="315" t="s">
        <v>235</v>
      </c>
      <c r="G146" s="315" t="s">
        <v>233</v>
      </c>
      <c r="H146" s="315" t="s">
        <v>236</v>
      </c>
      <c r="I146" s="315" t="s">
        <v>236</v>
      </c>
      <c r="J146" s="316" t="s">
        <v>235</v>
      </c>
      <c r="K146" s="315" t="s">
        <v>235</v>
      </c>
    </row>
    <row r="147" spans="1:11">
      <c r="E147" s="315" t="s">
        <v>324</v>
      </c>
      <c r="F147" s="315">
        <v>0</v>
      </c>
      <c r="H147" s="315">
        <v>28478</v>
      </c>
      <c r="J147" s="316">
        <v>28478</v>
      </c>
      <c r="K147" s="315">
        <v>0</v>
      </c>
    </row>
    <row r="149" spans="1:11">
      <c r="A149" s="315" t="s">
        <v>415</v>
      </c>
      <c r="B149" s="315" t="s">
        <v>325</v>
      </c>
      <c r="C149" s="315" t="s">
        <v>446</v>
      </c>
      <c r="D149" s="315">
        <v>1</v>
      </c>
      <c r="E149" s="315" t="s">
        <v>326</v>
      </c>
      <c r="F149" s="315">
        <v>0</v>
      </c>
      <c r="H149" s="315">
        <v>112000</v>
      </c>
      <c r="J149" s="316">
        <f>112000-45000</f>
        <v>67000</v>
      </c>
      <c r="K149" s="315">
        <v>0</v>
      </c>
    </row>
    <row r="150" spans="1:11">
      <c r="E150" s="315" t="s">
        <v>473</v>
      </c>
      <c r="J150" s="316">
        <v>45000</v>
      </c>
    </row>
    <row r="151" spans="1:11">
      <c r="A151" s="315" t="s">
        <v>232</v>
      </c>
      <c r="B151" s="315" t="s">
        <v>233</v>
      </c>
      <c r="C151" s="315" t="s">
        <v>233</v>
      </c>
      <c r="D151" s="315" t="s">
        <v>411</v>
      </c>
      <c r="E151" s="315" t="s">
        <v>234</v>
      </c>
      <c r="F151" s="315" t="s">
        <v>235</v>
      </c>
      <c r="G151" s="315" t="s">
        <v>233</v>
      </c>
      <c r="H151" s="315" t="s">
        <v>236</v>
      </c>
      <c r="I151" s="315" t="s">
        <v>236</v>
      </c>
      <c r="J151" s="316" t="s">
        <v>235</v>
      </c>
      <c r="K151" s="315" t="s">
        <v>235</v>
      </c>
    </row>
    <row r="152" spans="1:11">
      <c r="E152" s="315" t="s">
        <v>327</v>
      </c>
      <c r="F152" s="315">
        <v>0</v>
      </c>
      <c r="H152" s="315">
        <v>112000</v>
      </c>
      <c r="J152" s="316">
        <v>112000</v>
      </c>
      <c r="K152" s="315">
        <v>0</v>
      </c>
    </row>
    <row r="154" spans="1:11">
      <c r="A154" s="315" t="s">
        <v>415</v>
      </c>
      <c r="B154" s="315" t="s">
        <v>328</v>
      </c>
      <c r="C154" s="315" t="s">
        <v>458</v>
      </c>
      <c r="D154" s="315" t="s">
        <v>459</v>
      </c>
      <c r="E154" s="315" t="s">
        <v>460</v>
      </c>
      <c r="F154" s="315">
        <v>0</v>
      </c>
      <c r="H154" s="315">
        <v>498</v>
      </c>
      <c r="I154" s="315">
        <v>498</v>
      </c>
      <c r="J154" s="316">
        <v>0</v>
      </c>
      <c r="K154" s="315">
        <v>0</v>
      </c>
    </row>
    <row r="155" spans="1:11">
      <c r="A155" s="315" t="s">
        <v>461</v>
      </c>
      <c r="B155" s="315" t="s">
        <v>328</v>
      </c>
      <c r="C155" s="315" t="s">
        <v>446</v>
      </c>
      <c r="D155" s="315">
        <v>10</v>
      </c>
      <c r="E155" s="315" t="s">
        <v>462</v>
      </c>
      <c r="F155" s="315">
        <v>0</v>
      </c>
      <c r="H155" s="315">
        <v>122710</v>
      </c>
      <c r="J155" s="316">
        <v>122710</v>
      </c>
      <c r="K155" s="315">
        <v>0</v>
      </c>
    </row>
    <row r="156" spans="1:11">
      <c r="A156" s="315" t="s">
        <v>415</v>
      </c>
      <c r="B156" s="315" t="s">
        <v>328</v>
      </c>
      <c r="C156" s="315" t="s">
        <v>446</v>
      </c>
      <c r="D156" s="315">
        <v>11</v>
      </c>
      <c r="E156" s="315" t="s">
        <v>329</v>
      </c>
      <c r="F156" s="315">
        <v>0</v>
      </c>
      <c r="H156" s="315">
        <v>32011</v>
      </c>
      <c r="J156" s="316">
        <v>32011</v>
      </c>
      <c r="K156" s="315">
        <v>0</v>
      </c>
    </row>
    <row r="157" spans="1:11">
      <c r="A157" s="315">
        <v>42130</v>
      </c>
      <c r="B157" s="315" t="s">
        <v>328</v>
      </c>
      <c r="C157" s="315" t="s">
        <v>446</v>
      </c>
      <c r="D157" s="315">
        <v>12</v>
      </c>
      <c r="E157" s="315" t="s">
        <v>330</v>
      </c>
      <c r="F157" s="315">
        <v>0</v>
      </c>
      <c r="H157" s="315">
        <v>116329</v>
      </c>
      <c r="J157" s="316">
        <v>116329</v>
      </c>
      <c r="K157" s="315">
        <v>0</v>
      </c>
    </row>
    <row r="158" spans="1:11">
      <c r="A158" s="315" t="s">
        <v>453</v>
      </c>
      <c r="B158" s="315" t="s">
        <v>328</v>
      </c>
      <c r="C158" s="315" t="s">
        <v>446</v>
      </c>
      <c r="D158" s="315">
        <v>13</v>
      </c>
      <c r="E158" s="315" t="s">
        <v>331</v>
      </c>
      <c r="F158" s="315">
        <v>0</v>
      </c>
      <c r="H158" s="315">
        <v>64135</v>
      </c>
      <c r="J158" s="316">
        <v>64135</v>
      </c>
      <c r="K158" s="315">
        <v>0</v>
      </c>
    </row>
    <row r="159" spans="1:11">
      <c r="A159" s="315" t="s">
        <v>463</v>
      </c>
      <c r="B159" s="315" t="s">
        <v>328</v>
      </c>
      <c r="C159" s="315" t="s">
        <v>446</v>
      </c>
      <c r="D159" s="315">
        <v>23</v>
      </c>
      <c r="E159" s="315" t="s">
        <v>332</v>
      </c>
      <c r="F159" s="315">
        <v>0</v>
      </c>
      <c r="H159" s="315">
        <v>53025</v>
      </c>
      <c r="J159" s="316">
        <v>53025</v>
      </c>
      <c r="K159" s="315">
        <v>0</v>
      </c>
    </row>
    <row r="160" spans="1:11">
      <c r="A160" s="315" t="s">
        <v>464</v>
      </c>
      <c r="B160" s="315" t="s">
        <v>328</v>
      </c>
      <c r="C160" s="315" t="s">
        <v>446</v>
      </c>
      <c r="D160" s="315">
        <v>26</v>
      </c>
      <c r="E160" s="315" t="s">
        <v>333</v>
      </c>
      <c r="F160" s="315">
        <v>0</v>
      </c>
      <c r="H160" s="315">
        <v>84250</v>
      </c>
      <c r="J160" s="316">
        <v>84250</v>
      </c>
      <c r="K160" s="315">
        <v>0</v>
      </c>
    </row>
    <row r="161" spans="1:11">
      <c r="A161" s="315">
        <v>41922</v>
      </c>
      <c r="B161" s="315" t="s">
        <v>328</v>
      </c>
      <c r="C161" s="315" t="s">
        <v>446</v>
      </c>
      <c r="D161" s="315">
        <v>35</v>
      </c>
      <c r="E161" s="315" t="s">
        <v>334</v>
      </c>
      <c r="F161" s="315">
        <v>0</v>
      </c>
      <c r="H161" s="315">
        <v>10440</v>
      </c>
      <c r="J161" s="316">
        <v>10440</v>
      </c>
      <c r="K161" s="315">
        <v>0</v>
      </c>
    </row>
    <row r="162" spans="1:11">
      <c r="A162" s="315" t="s">
        <v>415</v>
      </c>
      <c r="B162" s="315" t="s">
        <v>328</v>
      </c>
      <c r="C162" s="315" t="s">
        <v>446</v>
      </c>
      <c r="D162" s="315">
        <v>46</v>
      </c>
      <c r="E162" s="315" t="s">
        <v>465</v>
      </c>
      <c r="F162" s="315">
        <v>0</v>
      </c>
      <c r="H162" s="315">
        <v>360000</v>
      </c>
      <c r="J162" s="316">
        <v>360000</v>
      </c>
      <c r="K162" s="315">
        <v>0</v>
      </c>
    </row>
    <row r="163" spans="1:11">
      <c r="A163" s="315" t="s">
        <v>415</v>
      </c>
      <c r="B163" s="315" t="s">
        <v>328</v>
      </c>
      <c r="C163" s="315" t="s">
        <v>446</v>
      </c>
      <c r="D163" s="315">
        <v>48</v>
      </c>
      <c r="E163" s="315" t="s">
        <v>466</v>
      </c>
      <c r="F163" s="315">
        <v>0</v>
      </c>
      <c r="H163" s="315">
        <v>696000</v>
      </c>
      <c r="J163" s="316">
        <v>696000</v>
      </c>
      <c r="K163" s="315">
        <v>0</v>
      </c>
    </row>
    <row r="164" spans="1:11">
      <c r="A164" s="315" t="s">
        <v>415</v>
      </c>
      <c r="B164" s="315" t="s">
        <v>328</v>
      </c>
      <c r="C164" s="315" t="s">
        <v>446</v>
      </c>
      <c r="D164" s="315">
        <v>50</v>
      </c>
      <c r="E164" s="315" t="s">
        <v>467</v>
      </c>
      <c r="F164" s="315">
        <v>0</v>
      </c>
      <c r="H164" s="315">
        <v>1396000</v>
      </c>
      <c r="J164" s="316">
        <v>1396000</v>
      </c>
      <c r="K164" s="315">
        <v>0</v>
      </c>
    </row>
    <row r="165" spans="1:11">
      <c r="A165" s="315" t="s">
        <v>468</v>
      </c>
      <c r="B165" s="315" t="s">
        <v>328</v>
      </c>
      <c r="C165" s="315" t="s">
        <v>446</v>
      </c>
      <c r="D165" s="315">
        <v>54</v>
      </c>
      <c r="E165" s="315" t="s">
        <v>469</v>
      </c>
      <c r="F165" s="315">
        <v>0</v>
      </c>
      <c r="H165" s="315">
        <v>277345.28000000003</v>
      </c>
      <c r="I165" s="315">
        <v>107475.6</v>
      </c>
      <c r="J165" s="316">
        <v>169869.68</v>
      </c>
      <c r="K165" s="315">
        <v>0</v>
      </c>
    </row>
    <row r="166" spans="1:11">
      <c r="A166" s="315" t="s">
        <v>232</v>
      </c>
      <c r="B166" s="315" t="s">
        <v>233</v>
      </c>
      <c r="C166" s="315" t="s">
        <v>233</v>
      </c>
      <c r="D166" s="315" t="s">
        <v>411</v>
      </c>
      <c r="E166" s="315" t="s">
        <v>234</v>
      </c>
      <c r="F166" s="315" t="s">
        <v>235</v>
      </c>
      <c r="G166" s="315" t="s">
        <v>233</v>
      </c>
      <c r="H166" s="315" t="s">
        <v>236</v>
      </c>
      <c r="I166" s="315" t="s">
        <v>236</v>
      </c>
      <c r="J166" s="316" t="s">
        <v>235</v>
      </c>
      <c r="K166" s="315" t="s">
        <v>235</v>
      </c>
    </row>
    <row r="167" spans="1:11">
      <c r="E167" s="315" t="s">
        <v>335</v>
      </c>
      <c r="F167" s="315">
        <v>0</v>
      </c>
      <c r="H167" s="315">
        <v>3212743.28</v>
      </c>
      <c r="I167" s="315">
        <v>107973.6</v>
      </c>
      <c r="J167" s="316">
        <v>3104769.68</v>
      </c>
      <c r="K167" s="315">
        <v>0</v>
      </c>
    </row>
    <row r="169" spans="1:11">
      <c r="A169" s="315" t="s">
        <v>470</v>
      </c>
      <c r="B169" s="315" t="s">
        <v>336</v>
      </c>
      <c r="C169" s="315" t="s">
        <v>446</v>
      </c>
      <c r="D169" s="315">
        <v>19</v>
      </c>
      <c r="E169" s="315" t="s">
        <v>337</v>
      </c>
      <c r="F169" s="315">
        <v>0</v>
      </c>
      <c r="H169" s="315">
        <v>5261.29</v>
      </c>
      <c r="I169" s="315">
        <v>599.94000000000005</v>
      </c>
      <c r="J169" s="316">
        <v>4661.3500000000004</v>
      </c>
      <c r="K169" s="315">
        <v>0</v>
      </c>
    </row>
    <row r="170" spans="1:11">
      <c r="A170" s="315" t="s">
        <v>232</v>
      </c>
      <c r="B170" s="315" t="s">
        <v>233</v>
      </c>
      <c r="C170" s="315" t="s">
        <v>233</v>
      </c>
      <c r="D170" s="315" t="s">
        <v>411</v>
      </c>
      <c r="E170" s="315" t="s">
        <v>234</v>
      </c>
      <c r="F170" s="315" t="s">
        <v>235</v>
      </c>
      <c r="G170" s="315" t="s">
        <v>233</v>
      </c>
      <c r="H170" s="315" t="s">
        <v>236</v>
      </c>
      <c r="I170" s="315" t="s">
        <v>236</v>
      </c>
      <c r="J170" s="316" t="s">
        <v>235</v>
      </c>
      <c r="K170" s="315" t="s">
        <v>235</v>
      </c>
    </row>
    <row r="171" spans="1:11">
      <c r="E171" s="315" t="s">
        <v>338</v>
      </c>
      <c r="F171" s="315">
        <v>0</v>
      </c>
      <c r="H171" s="315">
        <v>5261.29</v>
      </c>
      <c r="I171" s="315">
        <v>599.94000000000005</v>
      </c>
      <c r="J171" s="316">
        <v>4661.3500000000004</v>
      </c>
      <c r="K171" s="315">
        <v>0</v>
      </c>
    </row>
    <row r="173" spans="1:11">
      <c r="F173" s="315" t="s">
        <v>339</v>
      </c>
      <c r="G173" s="315" t="s">
        <v>340</v>
      </c>
      <c r="H173" s="315" t="s">
        <v>341</v>
      </c>
      <c r="I173" s="315" t="s">
        <v>341</v>
      </c>
      <c r="J173" s="315" t="s">
        <v>339</v>
      </c>
      <c r="K173" s="315" t="s">
        <v>339</v>
      </c>
    </row>
    <row r="174" spans="1:11">
      <c r="E174" s="315" t="s">
        <v>342</v>
      </c>
      <c r="F174" s="315">
        <v>0.02</v>
      </c>
      <c r="G174" s="315" t="s">
        <v>239</v>
      </c>
      <c r="H174" s="315">
        <v>19987717373.349998</v>
      </c>
      <c r="I174" s="315">
        <v>19987717373.349998</v>
      </c>
      <c r="J174" s="315">
        <v>64032678.950000003</v>
      </c>
      <c r="K174" s="315">
        <v>64032678.969999999</v>
      </c>
    </row>
    <row r="175" spans="1:11">
      <c r="F175" s="315" t="s">
        <v>339</v>
      </c>
      <c r="G175" s="315" t="s">
        <v>340</v>
      </c>
      <c r="H175" s="315" t="s">
        <v>341</v>
      </c>
      <c r="I175" s="315" t="s">
        <v>341</v>
      </c>
      <c r="J175" s="315" t="s">
        <v>339</v>
      </c>
      <c r="K175" s="315" t="s">
        <v>339</v>
      </c>
    </row>
    <row r="177" spans="1:1">
      <c r="A177" s="315" t="s">
        <v>471</v>
      </c>
    </row>
  </sheetData>
  <pageMargins left="0.7" right="0.7" top="0.75" bottom="0.75" header="0.3" footer="0.3"/>
  <pageSetup scale="70" orientation="landscape"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rgb="FF92D050"/>
    <pageSetUpPr fitToPage="1"/>
  </sheetPr>
  <dimension ref="B1:Q28"/>
  <sheetViews>
    <sheetView defaultGridColor="0" view="pageBreakPreview" colorId="22" zoomScale="85" zoomScaleNormal="100" zoomScaleSheetLayoutView="85" workbookViewId="0">
      <selection activeCell="B4" sqref="B4"/>
    </sheetView>
  </sheetViews>
  <sheetFormatPr defaultColWidth="9.77734375" defaultRowHeight="15.75"/>
  <cols>
    <col min="1" max="1" width="5.77734375" style="28" customWidth="1"/>
    <col min="2" max="2" width="3.77734375" style="28" customWidth="1"/>
    <col min="3" max="3" width="21.77734375" style="28" customWidth="1"/>
    <col min="4" max="4" width="10.6640625" style="28" customWidth="1"/>
    <col min="5" max="5" width="11.44140625" style="28" customWidth="1"/>
    <col min="6" max="6" width="11.109375" style="28" customWidth="1"/>
    <col min="7" max="7" width="5.5546875" style="28" customWidth="1"/>
    <col min="8" max="8" width="9.44140625" style="28" customWidth="1"/>
    <col min="9" max="9" width="10.21875" style="28" customWidth="1"/>
    <col min="10" max="10" width="10.5546875" style="28" customWidth="1"/>
    <col min="11" max="11" width="10.33203125" style="28" customWidth="1"/>
    <col min="12" max="12" width="2.109375" style="28" customWidth="1"/>
    <col min="13" max="16384" width="9.77734375" style="28"/>
  </cols>
  <sheetData>
    <row r="1" spans="2:17" ht="16.5">
      <c r="L1" s="29"/>
    </row>
    <row r="2" spans="2:17" ht="16.5">
      <c r="L2" s="29"/>
    </row>
    <row r="3" spans="2:17" ht="16.5">
      <c r="B3" s="30" t="s">
        <v>577</v>
      </c>
      <c r="C3" s="18" t="s">
        <v>98</v>
      </c>
    </row>
    <row r="4" spans="2:17" ht="16.5">
      <c r="B4" s="30"/>
      <c r="C4" s="18"/>
    </row>
    <row r="5" spans="2:17" ht="16.5">
      <c r="B5" s="30"/>
    </row>
    <row r="7" spans="2:17" ht="16.5">
      <c r="C7" s="31"/>
      <c r="D7" s="32" t="s">
        <v>99</v>
      </c>
      <c r="E7" s="32"/>
      <c r="F7" s="33"/>
      <c r="G7" s="467" t="s">
        <v>100</v>
      </c>
      <c r="H7" s="468"/>
      <c r="I7" s="468"/>
      <c r="J7" s="468"/>
      <c r="K7" s="34" t="s">
        <v>101</v>
      </c>
    </row>
    <row r="8" spans="2:17" ht="16.5" customHeight="1">
      <c r="C8" s="35" t="s">
        <v>9</v>
      </c>
      <c r="D8" s="36" t="s">
        <v>102</v>
      </c>
      <c r="E8" s="469" t="s">
        <v>123</v>
      </c>
      <c r="F8" s="37" t="s">
        <v>102</v>
      </c>
      <c r="G8" s="38" t="s">
        <v>103</v>
      </c>
      <c r="H8" s="39" t="s">
        <v>104</v>
      </c>
      <c r="I8" s="471" t="s">
        <v>105</v>
      </c>
      <c r="J8" s="40" t="s">
        <v>102</v>
      </c>
      <c r="K8" s="41" t="s">
        <v>102</v>
      </c>
    </row>
    <row r="9" spans="2:17" ht="35.25" customHeight="1">
      <c r="C9" s="42"/>
      <c r="D9" s="65" t="s">
        <v>209</v>
      </c>
      <c r="E9" s="470"/>
      <c r="F9" s="66" t="s">
        <v>401</v>
      </c>
      <c r="G9" s="43" t="s">
        <v>106</v>
      </c>
      <c r="H9" s="67" t="s">
        <v>209</v>
      </c>
      <c r="I9" s="472"/>
      <c r="J9" s="66" t="s">
        <v>401</v>
      </c>
      <c r="K9" s="67" t="s">
        <v>401</v>
      </c>
    </row>
    <row r="10" spans="2:17">
      <c r="C10" s="44"/>
      <c r="D10" s="45"/>
      <c r="E10" s="46"/>
      <c r="F10" s="47"/>
      <c r="G10" s="48"/>
      <c r="H10" s="45"/>
      <c r="I10" s="45"/>
      <c r="J10" s="47"/>
      <c r="K10" s="47"/>
      <c r="L10" s="44"/>
    </row>
    <row r="11" spans="2:17" ht="16.5">
      <c r="C11" s="49" t="s">
        <v>107</v>
      </c>
      <c r="D11" s="45"/>
      <c r="E11" s="46"/>
      <c r="F11" s="47"/>
      <c r="G11" s="48"/>
      <c r="H11" s="45"/>
      <c r="I11" s="45"/>
      <c r="J11" s="47"/>
      <c r="K11" s="47"/>
      <c r="L11" s="44"/>
    </row>
    <row r="12" spans="2:17">
      <c r="C12" s="44"/>
      <c r="D12" s="45"/>
      <c r="E12" s="46"/>
      <c r="F12" s="47"/>
      <c r="G12" s="48"/>
      <c r="H12" s="45"/>
      <c r="I12" s="45"/>
      <c r="J12" s="47"/>
      <c r="K12" s="47"/>
      <c r="L12" s="44"/>
      <c r="O12" s="28">
        <f>F13-H13</f>
        <v>34164.9</v>
      </c>
      <c r="P12" s="28">
        <f>O12*0.1</f>
        <v>3416.4900000000002</v>
      </c>
    </row>
    <row r="13" spans="2:17">
      <c r="C13" s="44" t="s">
        <v>108</v>
      </c>
      <c r="D13" s="50">
        <v>42179</v>
      </c>
      <c r="E13" s="50">
        <v>0</v>
      </c>
      <c r="F13" s="50">
        <f>D13+E13</f>
        <v>42179</v>
      </c>
      <c r="G13" s="52">
        <v>10</v>
      </c>
      <c r="H13" s="57">
        <v>8014.1</v>
      </c>
      <c r="I13" s="50">
        <f>(F13-H13)*G13/100</f>
        <v>3416.49</v>
      </c>
      <c r="J13" s="50">
        <f>H13+I13</f>
        <v>11430.59</v>
      </c>
      <c r="K13" s="50">
        <f>F13-J13</f>
        <v>30748.41</v>
      </c>
      <c r="L13" s="44"/>
      <c r="M13" s="28">
        <f>F13-H13</f>
        <v>34164.9</v>
      </c>
      <c r="N13" s="28">
        <f>M13*0.1</f>
        <v>3416.4900000000002</v>
      </c>
    </row>
    <row r="14" spans="2:17">
      <c r="C14" s="44"/>
      <c r="D14" s="50"/>
      <c r="E14" s="50"/>
      <c r="F14" s="50"/>
      <c r="G14" s="52"/>
      <c r="H14" s="57"/>
      <c r="I14" s="50"/>
      <c r="J14" s="50"/>
      <c r="K14" s="50"/>
      <c r="L14" s="44"/>
    </row>
    <row r="15" spans="2:17">
      <c r="C15" s="44" t="s">
        <v>109</v>
      </c>
      <c r="D15" s="50">
        <v>49647</v>
      </c>
      <c r="E15" s="50">
        <v>0</v>
      </c>
      <c r="F15" s="50">
        <f>D15+E15</f>
        <v>49647</v>
      </c>
      <c r="G15" s="52">
        <v>30</v>
      </c>
      <c r="H15" s="57">
        <v>25319.9</v>
      </c>
      <c r="I15" s="50">
        <f>(F15-H15)*G15/100</f>
        <v>7298.13</v>
      </c>
      <c r="J15" s="50">
        <f t="shared" ref="J15:J21" si="0">H15+I15</f>
        <v>32618.030000000002</v>
      </c>
      <c r="K15" s="50">
        <f>F15-J15</f>
        <v>17028.969999999998</v>
      </c>
      <c r="L15" s="44"/>
      <c r="N15" s="28" t="s">
        <v>110</v>
      </c>
      <c r="P15" s="28">
        <v>13800</v>
      </c>
      <c r="Q15" s="28">
        <f>P15*0.3*O15/12</f>
        <v>0</v>
      </c>
    </row>
    <row r="16" spans="2:17">
      <c r="C16" s="44"/>
      <c r="D16" s="50"/>
      <c r="E16" s="50"/>
      <c r="F16" s="50"/>
      <c r="G16" s="52"/>
      <c r="H16" s="57"/>
      <c r="I16" s="50"/>
      <c r="J16" s="50"/>
      <c r="K16" s="50"/>
      <c r="L16" s="44"/>
    </row>
    <row r="17" spans="3:14">
      <c r="C17" s="44" t="s">
        <v>112</v>
      </c>
      <c r="D17" s="51">
        <v>62303</v>
      </c>
      <c r="E17" s="51">
        <v>0</v>
      </c>
      <c r="F17" s="50">
        <f>D17+E17</f>
        <v>62303</v>
      </c>
      <c r="G17" s="51">
        <v>10</v>
      </c>
      <c r="H17" s="57">
        <v>11837.57</v>
      </c>
      <c r="I17" s="50">
        <f>(F17-H17)*G17/100</f>
        <v>5046.5429999999997</v>
      </c>
      <c r="J17" s="50">
        <f t="shared" si="0"/>
        <v>16884.112999999998</v>
      </c>
      <c r="K17" s="50">
        <f>F17-J17</f>
        <v>45418.887000000002</v>
      </c>
      <c r="L17" s="44"/>
    </row>
    <row r="18" spans="3:14">
      <c r="C18" s="44"/>
      <c r="D18" s="51"/>
      <c r="E18" s="51"/>
      <c r="F18" s="50"/>
      <c r="G18" s="51"/>
      <c r="H18" s="57"/>
      <c r="I18" s="53"/>
      <c r="J18" s="50"/>
      <c r="K18" s="50"/>
      <c r="L18" s="44"/>
    </row>
    <row r="19" spans="3:14">
      <c r="C19" s="44" t="s">
        <v>196</v>
      </c>
      <c r="D19" s="51">
        <v>24814</v>
      </c>
      <c r="E19" s="51">
        <v>0</v>
      </c>
      <c r="F19" s="51">
        <v>24814</v>
      </c>
      <c r="G19" s="51">
        <v>10</v>
      </c>
      <c r="H19" s="57">
        <v>4714.66</v>
      </c>
      <c r="I19" s="50">
        <f>(F19-H19)*G19/100</f>
        <v>2009.934</v>
      </c>
      <c r="J19" s="50">
        <f t="shared" si="0"/>
        <v>6724.5940000000001</v>
      </c>
      <c r="K19" s="50">
        <f>F19-J19</f>
        <v>18089.405999999999</v>
      </c>
      <c r="L19" s="44"/>
    </row>
    <row r="20" spans="3:14">
      <c r="C20" s="44"/>
      <c r="D20" s="51"/>
      <c r="E20" s="51"/>
      <c r="F20" s="50"/>
      <c r="G20" s="51"/>
      <c r="H20" s="57"/>
      <c r="I20" s="53"/>
      <c r="J20" s="50"/>
      <c r="K20" s="50"/>
      <c r="L20" s="44"/>
    </row>
    <row r="21" spans="3:14">
      <c r="C21" s="44" t="s">
        <v>113</v>
      </c>
      <c r="D21" s="51">
        <v>20966</v>
      </c>
      <c r="E21" s="51">
        <v>0</v>
      </c>
      <c r="F21" s="51">
        <v>20966</v>
      </c>
      <c r="G21" s="51">
        <v>10</v>
      </c>
      <c r="H21" s="57">
        <v>3983.54</v>
      </c>
      <c r="I21" s="50">
        <f>(F21-H21)*G21/100</f>
        <v>1698.2459999999999</v>
      </c>
      <c r="J21" s="50">
        <f t="shared" si="0"/>
        <v>5681.7860000000001</v>
      </c>
      <c r="K21" s="50">
        <f>F21-J21</f>
        <v>15284.214</v>
      </c>
      <c r="L21" s="44"/>
    </row>
    <row r="22" spans="3:14">
      <c r="C22" s="44"/>
      <c r="D22" s="54"/>
      <c r="E22" s="54"/>
      <c r="F22" s="54"/>
      <c r="G22" s="54"/>
      <c r="H22" s="54"/>
      <c r="I22" s="54"/>
      <c r="J22" s="54"/>
      <c r="K22" s="54"/>
      <c r="L22" s="44"/>
    </row>
    <row r="23" spans="3:14" ht="17.25" thickBot="1">
      <c r="C23" s="55" t="s">
        <v>111</v>
      </c>
      <c r="D23" s="50">
        <f>SUM(D12:D21)</f>
        <v>199909</v>
      </c>
      <c r="E23" s="50">
        <f>+E15+E13+E17+E19+E21</f>
        <v>0</v>
      </c>
      <c r="F23" s="50">
        <f>F13+F15+F17+F19+F21</f>
        <v>199909</v>
      </c>
      <c r="G23" s="50"/>
      <c r="H23" s="50">
        <f>SUM(H13:H21)</f>
        <v>53869.77</v>
      </c>
      <c r="I23" s="50">
        <f>I13+I15+I17+I19+I21</f>
        <v>19469.342999999997</v>
      </c>
      <c r="J23" s="50">
        <f>J13+J15+J17+J19+J21+0.8</f>
        <v>73339.913000000015</v>
      </c>
      <c r="K23" s="50">
        <f>F23-J23</f>
        <v>126569.08699999998</v>
      </c>
      <c r="L23" s="44"/>
      <c r="M23" s="28">
        <f>K25-K23</f>
        <v>19468.913000000015</v>
      </c>
    </row>
    <row r="24" spans="3:14" ht="17.25" thickTop="1">
      <c r="C24" s="55"/>
      <c r="D24" s="56"/>
      <c r="E24" s="56"/>
      <c r="F24" s="56"/>
      <c r="G24" s="56"/>
      <c r="H24" s="56"/>
      <c r="I24" s="56"/>
      <c r="J24" s="56"/>
      <c r="K24" s="56"/>
      <c r="L24" s="44"/>
    </row>
    <row r="25" spans="3:14" ht="17.25" thickBot="1">
      <c r="C25" s="307" t="s">
        <v>402</v>
      </c>
      <c r="D25" s="50">
        <v>0</v>
      </c>
      <c r="E25" s="50">
        <v>199909</v>
      </c>
      <c r="F25" s="50">
        <f>D25+E25</f>
        <v>199909</v>
      </c>
      <c r="G25" s="50">
        <v>0</v>
      </c>
      <c r="H25" s="50">
        <v>29922</v>
      </c>
      <c r="I25" s="50">
        <v>23949</v>
      </c>
      <c r="J25" s="28">
        <v>53871</v>
      </c>
      <c r="K25" s="50">
        <f>F25-J25</f>
        <v>146038</v>
      </c>
      <c r="L25" s="44"/>
      <c r="N25" s="28">
        <f>M25-K23</f>
        <v>-126569.08699999998</v>
      </c>
    </row>
    <row r="26" spans="3:14" ht="16.5" thickTop="1">
      <c r="D26" s="306"/>
      <c r="E26" s="306"/>
      <c r="F26" s="306"/>
      <c r="G26" s="306"/>
      <c r="H26" s="306"/>
      <c r="I26" s="306"/>
      <c r="J26" s="306"/>
      <c r="K26" s="306"/>
      <c r="L26" s="44"/>
    </row>
    <row r="27" spans="3:14">
      <c r="L27" s="44"/>
    </row>
    <row r="28" spans="3:14">
      <c r="J28" s="28">
        <v>53869</v>
      </c>
    </row>
  </sheetData>
  <mergeCells count="3">
    <mergeCell ref="G7:J7"/>
    <mergeCell ref="E8:E9"/>
    <mergeCell ref="I8:I9"/>
  </mergeCells>
  <printOptions horizontalCentered="1"/>
  <pageMargins left="0.75" right="0.26" top="0.37" bottom="0.26" header="0.5" footer="0.24"/>
  <pageSetup scale="99"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S623"/>
  <sheetViews>
    <sheetView view="pageBreakPreview" topLeftCell="A163" zoomScaleNormal="100" zoomScaleSheetLayoutView="100" workbookViewId="0">
      <selection activeCell="B147" sqref="B147:K189"/>
    </sheetView>
  </sheetViews>
  <sheetFormatPr defaultColWidth="9.77734375" defaultRowHeight="15.75" customHeight="1"/>
  <cols>
    <col min="1" max="2" width="4.77734375" style="182" customWidth="1"/>
    <col min="3" max="3" width="4.33203125" style="182" customWidth="1"/>
    <col min="4" max="4" width="25.33203125" style="182" customWidth="1"/>
    <col min="5" max="5" width="11.5546875" style="182" customWidth="1"/>
    <col min="6" max="6" width="1.109375" style="182" customWidth="1"/>
    <col min="7" max="7" width="4.109375" style="182" customWidth="1"/>
    <col min="8" max="8" width="1.21875" style="182" customWidth="1"/>
    <col min="9" max="9" width="8.5546875" style="182" bestFit="1" customWidth="1"/>
    <col min="10" max="10" width="1.21875" style="182" customWidth="1"/>
    <col min="11" max="11" width="10.21875" style="182" customWidth="1"/>
    <col min="12" max="12" width="0.77734375" style="182" customWidth="1"/>
    <col min="13" max="13" width="9.77734375" style="182"/>
    <col min="14" max="14" width="10.6640625" style="182" bestFit="1" customWidth="1"/>
    <col min="15" max="16384" width="9.77734375" style="182"/>
  </cols>
  <sheetData>
    <row r="1" spans="2:13" ht="15.75" customHeight="1">
      <c r="L1" s="183"/>
    </row>
    <row r="2" spans="2:13" ht="15.75" customHeight="1">
      <c r="L2" s="183"/>
    </row>
    <row r="4" spans="2:13" ht="15.75" customHeight="1">
      <c r="B4" s="184" t="s">
        <v>4</v>
      </c>
    </row>
    <row r="5" spans="2:13" ht="15.75" customHeight="1">
      <c r="B5" s="184" t="s">
        <v>11</v>
      </c>
    </row>
    <row r="6" spans="2:13" ht="15.75" customHeight="1">
      <c r="B6" s="185" t="s">
        <v>399</v>
      </c>
    </row>
    <row r="7" spans="2:13" ht="15.75" customHeight="1">
      <c r="B7" s="186"/>
    </row>
    <row r="8" spans="2:13" ht="15.75" customHeight="1">
      <c r="B8" s="187">
        <v>1</v>
      </c>
      <c r="C8" s="188" t="s">
        <v>12</v>
      </c>
      <c r="D8" s="188"/>
      <c r="E8" s="188"/>
      <c r="F8" s="188"/>
      <c r="G8" s="189"/>
      <c r="H8" s="22"/>
      <c r="I8" s="22"/>
      <c r="J8" s="22"/>
      <c r="K8" s="22"/>
      <c r="L8" s="22"/>
      <c r="M8" s="22"/>
    </row>
    <row r="9" spans="2:13" ht="9" customHeight="1">
      <c r="B9" s="187"/>
      <c r="C9" s="188"/>
      <c r="D9" s="188"/>
      <c r="E9" s="188"/>
      <c r="F9" s="188"/>
      <c r="G9" s="190"/>
      <c r="H9" s="22"/>
      <c r="I9" s="22"/>
      <c r="J9" s="22"/>
      <c r="K9" s="22"/>
      <c r="L9" s="22"/>
      <c r="M9" s="22"/>
    </row>
    <row r="10" spans="2:13" ht="15.75" customHeight="1">
      <c r="B10" s="187"/>
      <c r="C10" s="476" t="s">
        <v>197</v>
      </c>
      <c r="D10" s="476"/>
      <c r="E10" s="476"/>
      <c r="F10" s="476"/>
      <c r="G10" s="476"/>
      <c r="H10" s="476"/>
      <c r="I10" s="476"/>
      <c r="J10" s="476"/>
      <c r="K10" s="476"/>
      <c r="L10" s="22"/>
      <c r="M10" s="22"/>
    </row>
    <row r="11" spans="2:13" ht="15.75" customHeight="1">
      <c r="B11" s="187"/>
      <c r="C11" s="476"/>
      <c r="D11" s="476"/>
      <c r="E11" s="476"/>
      <c r="F11" s="476"/>
      <c r="G11" s="476"/>
      <c r="H11" s="476"/>
      <c r="I11" s="476"/>
      <c r="J11" s="476"/>
      <c r="K11" s="476"/>
      <c r="L11" s="22"/>
      <c r="M11" s="22"/>
    </row>
    <row r="12" spans="2:13" ht="15.75" customHeight="1">
      <c r="B12" s="187"/>
      <c r="C12" s="476"/>
      <c r="D12" s="476"/>
      <c r="E12" s="476"/>
      <c r="F12" s="476"/>
      <c r="G12" s="476"/>
      <c r="H12" s="476"/>
      <c r="I12" s="476"/>
      <c r="J12" s="476"/>
      <c r="K12" s="476"/>
      <c r="L12" s="22"/>
      <c r="M12" s="22"/>
    </row>
    <row r="13" spans="2:13" ht="12.75" customHeight="1">
      <c r="B13" s="187"/>
      <c r="C13" s="476"/>
      <c r="D13" s="476"/>
      <c r="E13" s="476"/>
      <c r="F13" s="476"/>
      <c r="G13" s="476"/>
      <c r="H13" s="476"/>
      <c r="I13" s="476"/>
      <c r="J13" s="476"/>
      <c r="K13" s="476"/>
      <c r="L13" s="22"/>
      <c r="M13" s="22"/>
    </row>
    <row r="14" spans="2:13" ht="9" customHeight="1">
      <c r="B14" s="187"/>
      <c r="C14" s="191"/>
      <c r="D14" s="191"/>
      <c r="E14" s="191"/>
      <c r="F14" s="191"/>
      <c r="G14" s="191"/>
      <c r="H14" s="191"/>
      <c r="I14" s="191"/>
      <c r="J14" s="191"/>
      <c r="K14" s="191"/>
      <c r="L14" s="22"/>
      <c r="M14" s="22"/>
    </row>
    <row r="15" spans="2:13" ht="15.75" customHeight="1">
      <c r="B15" s="187"/>
      <c r="C15" s="481" t="s">
        <v>198</v>
      </c>
      <c r="D15" s="481"/>
      <c r="E15" s="481"/>
      <c r="F15" s="481"/>
      <c r="G15" s="481"/>
      <c r="H15" s="481"/>
      <c r="I15" s="481"/>
      <c r="J15" s="481"/>
      <c r="K15" s="481"/>
      <c r="L15" s="22"/>
      <c r="M15" s="22"/>
    </row>
    <row r="16" spans="2:13" ht="9" customHeight="1">
      <c r="B16" s="187"/>
      <c r="C16" s="192"/>
      <c r="D16" s="192"/>
      <c r="E16" s="192"/>
      <c r="F16" s="192"/>
      <c r="G16" s="193"/>
      <c r="H16" s="194"/>
      <c r="I16" s="194"/>
      <c r="J16" s="194"/>
      <c r="K16" s="194"/>
      <c r="L16" s="22"/>
      <c r="M16" s="22"/>
    </row>
    <row r="17" spans="2:13" ht="15.75" customHeight="1">
      <c r="B17" s="187">
        <v>2</v>
      </c>
      <c r="C17" s="195" t="s">
        <v>13</v>
      </c>
      <c r="D17" s="188"/>
      <c r="E17" s="188"/>
      <c r="F17" s="188"/>
      <c r="G17" s="190"/>
      <c r="H17" s="22"/>
      <c r="I17" s="22"/>
      <c r="J17" s="22"/>
      <c r="K17" s="22"/>
      <c r="L17" s="22"/>
      <c r="M17" s="22"/>
    </row>
    <row r="18" spans="2:13" ht="9" customHeight="1">
      <c r="B18" s="187"/>
      <c r="C18" s="188"/>
      <c r="D18" s="188"/>
      <c r="E18" s="188"/>
      <c r="F18" s="188"/>
      <c r="G18" s="190"/>
      <c r="H18" s="22"/>
      <c r="I18" s="22"/>
      <c r="J18" s="22"/>
      <c r="K18" s="22"/>
      <c r="L18" s="22"/>
      <c r="M18" s="22"/>
    </row>
    <row r="19" spans="2:13" ht="15.75" customHeight="1">
      <c r="B19" s="196" t="s">
        <v>14</v>
      </c>
      <c r="C19" s="197" t="s">
        <v>15</v>
      </c>
      <c r="D19" s="188"/>
      <c r="E19" s="188"/>
      <c r="F19" s="188"/>
      <c r="G19" s="190"/>
      <c r="H19" s="22"/>
      <c r="I19" s="22"/>
      <c r="J19" s="22"/>
      <c r="K19" s="22"/>
      <c r="L19" s="22"/>
      <c r="M19" s="22"/>
    </row>
    <row r="20" spans="2:13" ht="9" customHeight="1">
      <c r="B20" s="187"/>
      <c r="C20" s="188"/>
      <c r="D20" s="188"/>
      <c r="E20" s="188"/>
      <c r="F20" s="188"/>
      <c r="G20" s="190"/>
      <c r="H20" s="22"/>
      <c r="I20" s="22"/>
      <c r="J20" s="22"/>
      <c r="K20" s="22"/>
      <c r="L20" s="22"/>
      <c r="M20" s="22"/>
    </row>
    <row r="21" spans="2:13" ht="15.75" customHeight="1">
      <c r="B21" s="187"/>
      <c r="C21" s="476" t="s">
        <v>16</v>
      </c>
      <c r="D21" s="476"/>
      <c r="E21" s="476"/>
      <c r="F21" s="476"/>
      <c r="G21" s="476"/>
      <c r="H21" s="476"/>
      <c r="I21" s="476"/>
      <c r="J21" s="476"/>
      <c r="K21" s="476"/>
      <c r="L21" s="22"/>
      <c r="M21" s="22"/>
    </row>
    <row r="22" spans="2:13" ht="15.75" customHeight="1">
      <c r="B22" s="187"/>
      <c r="C22" s="476"/>
      <c r="D22" s="476"/>
      <c r="E22" s="476"/>
      <c r="F22" s="476"/>
      <c r="G22" s="476"/>
      <c r="H22" s="476"/>
      <c r="I22" s="476"/>
      <c r="J22" s="476"/>
      <c r="K22" s="476"/>
      <c r="L22" s="22"/>
      <c r="M22" s="22"/>
    </row>
    <row r="23" spans="2:13" ht="15.75" customHeight="1">
      <c r="B23" s="187"/>
      <c r="C23" s="476"/>
      <c r="D23" s="476"/>
      <c r="E23" s="476"/>
      <c r="F23" s="476"/>
      <c r="G23" s="476"/>
      <c r="H23" s="476"/>
      <c r="I23" s="476"/>
      <c r="J23" s="476"/>
      <c r="K23" s="476"/>
      <c r="L23" s="22"/>
      <c r="M23" s="22"/>
    </row>
    <row r="24" spans="2:13" ht="15.75" customHeight="1">
      <c r="B24" s="187"/>
      <c r="C24" s="476"/>
      <c r="D24" s="476"/>
      <c r="E24" s="476"/>
      <c r="F24" s="476"/>
      <c r="G24" s="476"/>
      <c r="H24" s="476"/>
      <c r="I24" s="476"/>
      <c r="J24" s="476"/>
      <c r="K24" s="476"/>
      <c r="L24" s="22"/>
      <c r="M24" s="22"/>
    </row>
    <row r="25" spans="2:13" ht="15.75" customHeight="1">
      <c r="B25" s="187"/>
      <c r="C25" s="476"/>
      <c r="D25" s="476"/>
      <c r="E25" s="476"/>
      <c r="F25" s="476"/>
      <c r="G25" s="476"/>
      <c r="H25" s="476"/>
      <c r="I25" s="476"/>
      <c r="J25" s="476"/>
      <c r="K25" s="476"/>
      <c r="L25" s="22"/>
      <c r="M25" s="22"/>
    </row>
    <row r="26" spans="2:13" ht="7.5" customHeight="1">
      <c r="B26" s="187"/>
      <c r="C26" s="476"/>
      <c r="D26" s="476"/>
      <c r="E26" s="476"/>
      <c r="F26" s="476"/>
      <c r="G26" s="476"/>
      <c r="H26" s="476"/>
      <c r="I26" s="476"/>
      <c r="J26" s="476"/>
      <c r="K26" s="476"/>
      <c r="L26" s="22"/>
      <c r="M26" s="22"/>
    </row>
    <row r="27" spans="2:13" ht="9" customHeight="1">
      <c r="B27" s="187"/>
      <c r="C27" s="191"/>
      <c r="D27" s="191"/>
      <c r="E27" s="191"/>
      <c r="F27" s="191"/>
      <c r="G27" s="191"/>
      <c r="H27" s="191"/>
      <c r="I27" s="191"/>
      <c r="J27" s="191"/>
      <c r="K27" s="191"/>
      <c r="L27" s="22"/>
      <c r="M27" s="22"/>
    </row>
    <row r="28" spans="2:13" ht="15.75" customHeight="1">
      <c r="B28" s="196" t="s">
        <v>17</v>
      </c>
      <c r="C28" s="188" t="s">
        <v>18</v>
      </c>
      <c r="D28" s="188"/>
      <c r="E28" s="188"/>
      <c r="F28" s="188"/>
      <c r="G28" s="190"/>
      <c r="H28" s="22"/>
      <c r="I28" s="22"/>
      <c r="J28" s="22"/>
      <c r="K28" s="22"/>
      <c r="L28" s="22"/>
      <c r="M28" s="22"/>
    </row>
    <row r="29" spans="2:13" ht="9" customHeight="1">
      <c r="B29" s="187"/>
      <c r="C29" s="188"/>
      <c r="D29" s="188"/>
      <c r="E29" s="188"/>
      <c r="F29" s="188"/>
      <c r="G29" s="190"/>
      <c r="H29" s="22"/>
      <c r="I29" s="22"/>
      <c r="J29" s="22"/>
      <c r="K29" s="22"/>
      <c r="L29" s="22"/>
      <c r="M29" s="22"/>
    </row>
    <row r="30" spans="2:13" ht="15.75" customHeight="1">
      <c r="B30" s="187"/>
      <c r="C30" s="192" t="s">
        <v>19</v>
      </c>
      <c r="D30" s="192"/>
      <c r="E30" s="192"/>
      <c r="F30" s="192"/>
      <c r="G30" s="194"/>
      <c r="H30" s="194"/>
      <c r="I30" s="194"/>
      <c r="J30" s="194"/>
      <c r="K30" s="194"/>
      <c r="L30" s="22"/>
      <c r="M30" s="194"/>
    </row>
    <row r="31" spans="2:13" ht="9" customHeight="1">
      <c r="B31" s="187"/>
      <c r="C31" s="192"/>
      <c r="D31" s="192"/>
      <c r="E31" s="192"/>
      <c r="F31" s="192"/>
      <c r="G31" s="22"/>
      <c r="H31" s="22"/>
      <c r="I31" s="22"/>
      <c r="J31" s="22"/>
      <c r="K31" s="22"/>
      <c r="L31" s="22"/>
      <c r="M31" s="22"/>
    </row>
    <row r="32" spans="2:13" ht="15.75" customHeight="1">
      <c r="B32" s="196" t="s">
        <v>20</v>
      </c>
      <c r="C32" s="188" t="s">
        <v>21</v>
      </c>
      <c r="D32" s="188"/>
      <c r="E32" s="188"/>
      <c r="F32" s="188"/>
      <c r="G32" s="190"/>
      <c r="H32" s="22"/>
      <c r="I32" s="22"/>
      <c r="J32" s="22"/>
      <c r="K32" s="22"/>
      <c r="L32" s="22"/>
      <c r="M32" s="22"/>
    </row>
    <row r="33" spans="2:13" ht="9" customHeight="1">
      <c r="B33" s="187"/>
      <c r="C33" s="188"/>
      <c r="D33" s="188"/>
      <c r="E33" s="188"/>
      <c r="F33" s="188"/>
      <c r="G33" s="190"/>
      <c r="H33" s="22"/>
      <c r="I33" s="22"/>
      <c r="J33" s="22"/>
      <c r="K33" s="22"/>
      <c r="L33" s="22"/>
      <c r="M33" s="22"/>
    </row>
    <row r="34" spans="2:13" ht="15.75" customHeight="1">
      <c r="B34" s="187"/>
      <c r="C34" s="22" t="s">
        <v>22</v>
      </c>
      <c r="D34" s="22"/>
      <c r="E34" s="22"/>
      <c r="F34" s="198"/>
      <c r="G34" s="198"/>
      <c r="H34" s="198"/>
      <c r="I34" s="198"/>
      <c r="J34" s="198"/>
      <c r="K34" s="198"/>
      <c r="L34" s="22"/>
      <c r="M34" s="22"/>
    </row>
    <row r="35" spans="2:13" ht="9" customHeight="1">
      <c r="B35" s="187"/>
      <c r="C35" s="198"/>
      <c r="D35" s="198"/>
      <c r="E35" s="198"/>
      <c r="F35" s="198"/>
      <c r="G35" s="198"/>
      <c r="H35" s="198"/>
      <c r="I35" s="198"/>
      <c r="J35" s="198"/>
      <c r="K35" s="198"/>
      <c r="L35" s="22"/>
      <c r="M35" s="22"/>
    </row>
    <row r="36" spans="2:13" ht="15.75" customHeight="1">
      <c r="B36" s="187"/>
      <c r="C36" s="476" t="s">
        <v>23</v>
      </c>
      <c r="D36" s="476"/>
      <c r="E36" s="476"/>
      <c r="F36" s="476"/>
      <c r="G36" s="476"/>
      <c r="H36" s="476"/>
      <c r="I36" s="476"/>
      <c r="J36" s="476"/>
      <c r="K36" s="476"/>
      <c r="L36" s="22"/>
      <c r="M36" s="22"/>
    </row>
    <row r="37" spans="2:13" ht="15.75" customHeight="1">
      <c r="B37" s="187"/>
      <c r="C37" s="476"/>
      <c r="D37" s="476"/>
      <c r="E37" s="476"/>
      <c r="F37" s="476"/>
      <c r="G37" s="476"/>
      <c r="H37" s="476"/>
      <c r="I37" s="476"/>
      <c r="J37" s="476"/>
      <c r="K37" s="476"/>
      <c r="L37" s="22"/>
      <c r="M37" s="22"/>
    </row>
    <row r="38" spans="2:13" ht="9.75" customHeight="1">
      <c r="B38" s="187"/>
      <c r="C38" s="476"/>
      <c r="D38" s="476"/>
      <c r="E38" s="476"/>
      <c r="F38" s="476"/>
      <c r="G38" s="476"/>
      <c r="H38" s="476"/>
      <c r="I38" s="476"/>
      <c r="J38" s="476"/>
      <c r="K38" s="476"/>
      <c r="L38" s="22"/>
      <c r="M38" s="22"/>
    </row>
    <row r="39" spans="2:13" ht="9" customHeight="1">
      <c r="B39" s="187"/>
      <c r="C39" s="191"/>
      <c r="D39" s="191"/>
      <c r="E39" s="191"/>
      <c r="F39" s="191"/>
      <c r="G39" s="191"/>
      <c r="H39" s="191"/>
      <c r="I39" s="191"/>
      <c r="J39" s="191"/>
      <c r="K39" s="191"/>
      <c r="L39" s="22"/>
      <c r="M39" s="22"/>
    </row>
    <row r="40" spans="2:13" ht="15.75" customHeight="1">
      <c r="B40" s="187"/>
      <c r="C40" s="476" t="s">
        <v>24</v>
      </c>
      <c r="D40" s="476"/>
      <c r="E40" s="476"/>
      <c r="F40" s="476"/>
      <c r="G40" s="476"/>
      <c r="H40" s="476"/>
      <c r="I40" s="476"/>
      <c r="J40" s="476"/>
      <c r="K40" s="476"/>
      <c r="L40" s="22"/>
      <c r="M40" s="22"/>
    </row>
    <row r="41" spans="2:13" ht="12" customHeight="1">
      <c r="B41" s="187"/>
      <c r="C41" s="476"/>
      <c r="D41" s="476"/>
      <c r="E41" s="476"/>
      <c r="F41" s="476"/>
      <c r="G41" s="476"/>
      <c r="H41" s="476"/>
      <c r="I41" s="476"/>
      <c r="J41" s="476"/>
      <c r="K41" s="476"/>
      <c r="L41" s="22"/>
      <c r="M41" s="22"/>
    </row>
    <row r="42" spans="2:13" ht="9" customHeight="1">
      <c r="B42" s="187"/>
      <c r="C42" s="191"/>
      <c r="D42" s="191"/>
      <c r="E42" s="191"/>
      <c r="F42" s="191"/>
      <c r="G42" s="191"/>
      <c r="H42" s="191"/>
      <c r="I42" s="191"/>
      <c r="J42" s="191"/>
      <c r="K42" s="191"/>
      <c r="L42" s="22"/>
      <c r="M42" s="22"/>
    </row>
    <row r="43" spans="2:13" ht="15.75" customHeight="1">
      <c r="B43" s="187"/>
      <c r="C43" s="476" t="s">
        <v>25</v>
      </c>
      <c r="D43" s="476"/>
      <c r="E43" s="476"/>
      <c r="F43" s="476"/>
      <c r="G43" s="476"/>
      <c r="H43" s="476"/>
      <c r="I43" s="476"/>
      <c r="J43" s="476"/>
      <c r="K43" s="476"/>
      <c r="L43" s="22"/>
      <c r="M43" s="22"/>
    </row>
    <row r="44" spans="2:13" ht="9" customHeight="1">
      <c r="B44" s="187"/>
      <c r="C44" s="191"/>
      <c r="D44" s="191"/>
      <c r="E44" s="191"/>
      <c r="F44" s="191"/>
      <c r="G44" s="191"/>
      <c r="H44" s="191"/>
      <c r="I44" s="191"/>
      <c r="J44" s="191"/>
      <c r="K44" s="191"/>
      <c r="L44" s="22"/>
      <c r="M44" s="22"/>
    </row>
    <row r="45" spans="2:13" ht="15.75" customHeight="1">
      <c r="B45" s="196" t="s">
        <v>26</v>
      </c>
      <c r="C45" s="188" t="s">
        <v>122</v>
      </c>
      <c r="D45" s="191"/>
      <c r="E45" s="191"/>
      <c r="F45" s="191"/>
      <c r="G45" s="191"/>
      <c r="H45" s="191"/>
      <c r="I45" s="191"/>
      <c r="J45" s="191"/>
      <c r="K45" s="191"/>
      <c r="L45" s="22"/>
      <c r="M45" s="22"/>
    </row>
    <row r="46" spans="2:13" ht="9" customHeight="1">
      <c r="B46" s="187"/>
      <c r="C46" s="191"/>
      <c r="D46" s="191"/>
      <c r="E46" s="191"/>
      <c r="F46" s="191"/>
      <c r="G46" s="191"/>
      <c r="H46" s="191"/>
      <c r="I46" s="191"/>
      <c r="J46" s="191"/>
      <c r="K46" s="191"/>
      <c r="L46" s="22"/>
      <c r="M46" s="22"/>
    </row>
    <row r="47" spans="2:13" ht="15.75" customHeight="1">
      <c r="B47" s="187"/>
      <c r="C47" s="476" t="s">
        <v>153</v>
      </c>
      <c r="D47" s="476"/>
      <c r="E47" s="476"/>
      <c r="F47" s="476"/>
      <c r="G47" s="476"/>
      <c r="H47" s="476"/>
      <c r="I47" s="476"/>
      <c r="J47" s="476"/>
      <c r="K47" s="476"/>
      <c r="L47" s="22"/>
      <c r="M47" s="22"/>
    </row>
    <row r="48" spans="2:13" ht="15.75" customHeight="1">
      <c r="B48" s="187"/>
      <c r="C48" s="476"/>
      <c r="D48" s="476"/>
      <c r="E48" s="476"/>
      <c r="F48" s="476"/>
      <c r="G48" s="476"/>
      <c r="H48" s="476"/>
      <c r="I48" s="476"/>
      <c r="J48" s="476"/>
      <c r="K48" s="476"/>
      <c r="L48" s="22"/>
      <c r="M48" s="22"/>
    </row>
    <row r="49" spans="2:13" ht="15.75" customHeight="1">
      <c r="B49" s="187"/>
      <c r="C49" s="476"/>
      <c r="D49" s="476"/>
      <c r="E49" s="476"/>
      <c r="F49" s="476"/>
      <c r="G49" s="476"/>
      <c r="H49" s="476"/>
      <c r="I49" s="476"/>
      <c r="J49" s="476"/>
      <c r="K49" s="476"/>
      <c r="L49" s="22"/>
      <c r="M49" s="22"/>
    </row>
    <row r="50" spans="2:13" ht="9.75" customHeight="1">
      <c r="B50" s="187"/>
      <c r="C50" s="476"/>
      <c r="D50" s="476"/>
      <c r="E50" s="476"/>
      <c r="F50" s="476"/>
      <c r="G50" s="476"/>
      <c r="H50" s="476"/>
      <c r="I50" s="476"/>
      <c r="J50" s="476"/>
      <c r="K50" s="476"/>
      <c r="L50" s="22"/>
      <c r="M50" s="22"/>
    </row>
    <row r="51" spans="2:13" ht="9" customHeight="1">
      <c r="B51" s="187"/>
      <c r="C51" s="191"/>
      <c r="D51" s="191"/>
      <c r="E51" s="191"/>
      <c r="F51" s="191"/>
      <c r="G51" s="191"/>
      <c r="H51" s="191"/>
      <c r="I51" s="191"/>
      <c r="J51" s="191"/>
      <c r="K51" s="191"/>
      <c r="L51" s="22"/>
      <c r="M51" s="22"/>
    </row>
    <row r="52" spans="2:13" ht="15.75" customHeight="1">
      <c r="B52" s="196" t="s">
        <v>29</v>
      </c>
      <c r="C52" s="188" t="s">
        <v>27</v>
      </c>
      <c r="D52" s="191"/>
      <c r="E52" s="191"/>
      <c r="F52" s="191"/>
      <c r="G52" s="191"/>
      <c r="H52" s="191"/>
      <c r="I52" s="191"/>
      <c r="J52" s="191"/>
      <c r="K52" s="191"/>
      <c r="L52" s="22"/>
      <c r="M52" s="22"/>
    </row>
    <row r="53" spans="2:13" ht="9" customHeight="1">
      <c r="B53" s="187"/>
      <c r="C53" s="191"/>
      <c r="D53" s="191"/>
      <c r="E53" s="191"/>
      <c r="F53" s="191"/>
      <c r="G53" s="191"/>
      <c r="H53" s="191"/>
      <c r="I53" s="191"/>
      <c r="J53" s="191"/>
      <c r="K53" s="191"/>
      <c r="L53" s="22"/>
      <c r="M53" s="22"/>
    </row>
    <row r="54" spans="2:13" ht="15.75" customHeight="1">
      <c r="B54" s="187"/>
      <c r="C54" s="476" t="s">
        <v>28</v>
      </c>
      <c r="D54" s="476"/>
      <c r="E54" s="476"/>
      <c r="F54" s="476"/>
      <c r="G54" s="476"/>
      <c r="H54" s="476"/>
      <c r="I54" s="476"/>
      <c r="J54" s="476"/>
      <c r="K54" s="476"/>
      <c r="L54" s="22"/>
      <c r="M54" s="22"/>
    </row>
    <row r="55" spans="2:13" ht="15.75" customHeight="1">
      <c r="B55" s="187"/>
      <c r="C55" s="476"/>
      <c r="D55" s="476"/>
      <c r="E55" s="476"/>
      <c r="F55" s="476"/>
      <c r="G55" s="476"/>
      <c r="H55" s="476"/>
      <c r="I55" s="476"/>
      <c r="J55" s="476"/>
      <c r="K55" s="476"/>
      <c r="L55" s="22"/>
      <c r="M55" s="22"/>
    </row>
    <row r="56" spans="2:13" ht="9" customHeight="1">
      <c r="B56" s="187"/>
      <c r="C56" s="476"/>
      <c r="D56" s="476"/>
      <c r="E56" s="476"/>
      <c r="F56" s="476"/>
      <c r="G56" s="476"/>
      <c r="H56" s="476"/>
      <c r="I56" s="476"/>
      <c r="J56" s="476"/>
      <c r="K56" s="476"/>
      <c r="L56" s="22"/>
      <c r="M56" s="22"/>
    </row>
    <row r="57" spans="2:13" ht="9" customHeight="1">
      <c r="B57" s="187"/>
      <c r="C57" s="191"/>
      <c r="D57" s="191"/>
      <c r="E57" s="191"/>
      <c r="F57" s="191"/>
      <c r="G57" s="191"/>
      <c r="H57" s="191"/>
      <c r="I57" s="191"/>
      <c r="J57" s="191"/>
      <c r="K57" s="191"/>
      <c r="L57" s="22"/>
      <c r="M57" s="22"/>
    </row>
    <row r="58" spans="2:13" ht="15.75" customHeight="1">
      <c r="B58" s="196" t="s">
        <v>32</v>
      </c>
      <c r="C58" s="188" t="s">
        <v>149</v>
      </c>
      <c r="D58" s="191"/>
      <c r="E58" s="191"/>
      <c r="F58" s="191"/>
      <c r="G58" s="191"/>
      <c r="H58" s="191"/>
      <c r="I58" s="191"/>
      <c r="J58" s="191"/>
      <c r="K58" s="191"/>
      <c r="L58" s="22"/>
      <c r="M58" s="22"/>
    </row>
    <row r="59" spans="2:13" ht="9" customHeight="1">
      <c r="B59" s="187"/>
      <c r="C59" s="191"/>
      <c r="D59" s="191"/>
      <c r="E59" s="191"/>
      <c r="F59" s="191"/>
      <c r="G59" s="191"/>
      <c r="H59" s="191"/>
      <c r="I59" s="191"/>
      <c r="J59" s="191"/>
      <c r="K59" s="191"/>
      <c r="L59" s="22"/>
      <c r="M59" s="22"/>
    </row>
    <row r="60" spans="2:13" ht="15.75" customHeight="1">
      <c r="B60" s="187"/>
      <c r="C60" s="476" t="s">
        <v>199</v>
      </c>
      <c r="D60" s="476"/>
      <c r="E60" s="476"/>
      <c r="F60" s="476"/>
      <c r="G60" s="476"/>
      <c r="H60" s="476"/>
      <c r="I60" s="476"/>
      <c r="J60" s="476"/>
      <c r="K60" s="476"/>
      <c r="L60" s="22"/>
      <c r="M60" s="22"/>
    </row>
    <row r="61" spans="2:13" ht="15.75" customHeight="1">
      <c r="B61" s="187"/>
      <c r="C61" s="476"/>
      <c r="D61" s="476"/>
      <c r="E61" s="476"/>
      <c r="F61" s="476"/>
      <c r="G61" s="476"/>
      <c r="H61" s="476"/>
      <c r="I61" s="476"/>
      <c r="J61" s="476"/>
      <c r="K61" s="476"/>
      <c r="L61" s="22"/>
      <c r="M61" s="22"/>
    </row>
    <row r="62" spans="2:13" ht="15.75" customHeight="1">
      <c r="B62" s="187"/>
      <c r="C62" s="477"/>
      <c r="D62" s="477"/>
      <c r="E62" s="477"/>
      <c r="F62" s="477"/>
      <c r="G62" s="477"/>
      <c r="H62" s="477"/>
      <c r="I62" s="477"/>
      <c r="J62" s="477"/>
      <c r="K62" s="477"/>
      <c r="L62" s="22"/>
      <c r="M62" s="22"/>
    </row>
    <row r="63" spans="2:13" ht="15.75" customHeight="1">
      <c r="B63" s="187"/>
      <c r="C63" s="477"/>
      <c r="D63" s="477"/>
      <c r="E63" s="477"/>
      <c r="F63" s="477"/>
      <c r="G63" s="477"/>
      <c r="H63" s="477"/>
      <c r="I63" s="477"/>
      <c r="J63" s="477"/>
      <c r="K63" s="477"/>
      <c r="L63" s="22"/>
      <c r="M63" s="22"/>
    </row>
    <row r="64" spans="2:13" ht="6.75" customHeight="1">
      <c r="B64" s="187"/>
      <c r="C64" s="477"/>
      <c r="D64" s="477"/>
      <c r="E64" s="477"/>
      <c r="F64" s="477"/>
      <c r="G64" s="477"/>
      <c r="H64" s="477"/>
      <c r="I64" s="477"/>
      <c r="J64" s="477"/>
      <c r="K64" s="477"/>
      <c r="L64" s="22"/>
      <c r="M64" s="22"/>
    </row>
    <row r="65" spans="2:13" ht="9" customHeight="1">
      <c r="B65" s="187"/>
      <c r="C65" s="191"/>
      <c r="D65" s="191"/>
      <c r="E65" s="191"/>
      <c r="F65" s="191"/>
      <c r="G65" s="191"/>
      <c r="H65" s="191"/>
      <c r="I65" s="191"/>
      <c r="J65" s="191"/>
      <c r="K65" s="191"/>
      <c r="L65" s="22"/>
      <c r="M65" s="22"/>
    </row>
    <row r="66" spans="2:13" ht="15.75" customHeight="1">
      <c r="B66" s="187"/>
      <c r="C66" s="200" t="s">
        <v>164</v>
      </c>
      <c r="D66" s="201" t="s">
        <v>150</v>
      </c>
      <c r="E66" s="191"/>
      <c r="F66" s="191"/>
      <c r="G66" s="191"/>
      <c r="H66" s="191"/>
      <c r="I66" s="191"/>
      <c r="J66" s="191"/>
      <c r="K66" s="191"/>
      <c r="L66" s="22"/>
      <c r="M66" s="22"/>
    </row>
    <row r="67" spans="2:13" ht="15.75" customHeight="1">
      <c r="B67" s="187"/>
      <c r="C67" s="202"/>
      <c r="D67" s="191"/>
      <c r="E67" s="191"/>
      <c r="F67" s="191"/>
      <c r="G67" s="191"/>
      <c r="H67" s="191"/>
      <c r="I67" s="191"/>
      <c r="J67" s="191"/>
      <c r="K67" s="191"/>
      <c r="L67" s="22"/>
      <c r="M67" s="22"/>
    </row>
    <row r="68" spans="2:13" ht="15.75" customHeight="1">
      <c r="B68" s="203"/>
      <c r="C68" s="200"/>
      <c r="D68" s="476" t="s">
        <v>154</v>
      </c>
      <c r="E68" s="477"/>
      <c r="F68" s="477"/>
      <c r="G68" s="477"/>
      <c r="H68" s="477"/>
      <c r="I68" s="477"/>
      <c r="J68" s="477"/>
      <c r="K68" s="477"/>
      <c r="L68" s="22"/>
      <c r="M68" s="22"/>
    </row>
    <row r="69" spans="2:13" ht="15.75" customHeight="1">
      <c r="B69" s="203"/>
      <c r="C69" s="204"/>
      <c r="D69" s="477"/>
      <c r="E69" s="477"/>
      <c r="F69" s="477"/>
      <c r="G69" s="477"/>
      <c r="H69" s="477"/>
      <c r="I69" s="477"/>
      <c r="J69" s="477"/>
      <c r="K69" s="477"/>
      <c r="L69" s="22"/>
      <c r="M69" s="22"/>
    </row>
    <row r="70" spans="2:13" ht="15.75" customHeight="1">
      <c r="B70" s="203"/>
      <c r="C70" s="204"/>
      <c r="D70" s="477"/>
      <c r="E70" s="477"/>
      <c r="F70" s="477"/>
      <c r="G70" s="477"/>
      <c r="H70" s="477"/>
      <c r="I70" s="477"/>
      <c r="J70" s="477"/>
      <c r="K70" s="477"/>
      <c r="L70" s="22"/>
      <c r="M70" s="22"/>
    </row>
    <row r="71" spans="2:13" ht="15.75" customHeight="1">
      <c r="B71" s="203"/>
      <c r="C71" s="204"/>
      <c r="D71" s="477"/>
      <c r="E71" s="477"/>
      <c r="F71" s="477"/>
      <c r="G71" s="477"/>
      <c r="H71" s="477"/>
      <c r="I71" s="477"/>
      <c r="J71" s="477"/>
      <c r="K71" s="477"/>
      <c r="L71" s="22"/>
      <c r="M71" s="22"/>
    </row>
    <row r="72" spans="2:13" ht="5.25" customHeight="1">
      <c r="B72" s="203"/>
      <c r="C72" s="204"/>
      <c r="D72" s="477"/>
      <c r="E72" s="477"/>
      <c r="F72" s="477"/>
      <c r="G72" s="477"/>
      <c r="H72" s="477"/>
      <c r="I72" s="477"/>
      <c r="J72" s="477"/>
      <c r="K72" s="477"/>
      <c r="L72" s="22"/>
      <c r="M72" s="22"/>
    </row>
    <row r="73" spans="2:13" ht="9" customHeight="1">
      <c r="B73" s="203"/>
      <c r="C73" s="205"/>
      <c r="D73" s="206"/>
      <c r="E73" s="206"/>
      <c r="F73" s="206"/>
      <c r="G73" s="206"/>
      <c r="H73" s="206"/>
      <c r="I73" s="206"/>
      <c r="J73" s="206"/>
      <c r="K73" s="206"/>
      <c r="L73" s="22"/>
      <c r="M73" s="22"/>
    </row>
    <row r="74" spans="2:13" ht="15.75" customHeight="1">
      <c r="B74" s="203"/>
      <c r="C74" s="200" t="s">
        <v>165</v>
      </c>
      <c r="D74" s="186" t="s">
        <v>152</v>
      </c>
      <c r="E74" s="206"/>
      <c r="F74" s="206"/>
      <c r="G74" s="206"/>
      <c r="H74" s="206"/>
      <c r="I74" s="206"/>
      <c r="J74" s="206"/>
      <c r="K74" s="206"/>
      <c r="L74" s="22"/>
      <c r="M74" s="22"/>
    </row>
    <row r="75" spans="2:13" ht="9" customHeight="1">
      <c r="B75" s="203"/>
      <c r="C75" s="206"/>
      <c r="D75" s="206"/>
      <c r="E75" s="206"/>
      <c r="F75" s="206"/>
      <c r="G75" s="206"/>
      <c r="H75" s="206"/>
      <c r="I75" s="206"/>
      <c r="J75" s="206"/>
      <c r="K75" s="206"/>
      <c r="L75" s="22"/>
      <c r="M75" s="22"/>
    </row>
    <row r="76" spans="2:13" ht="15.75" customHeight="1">
      <c r="B76" s="203"/>
      <c r="D76" s="476" t="s">
        <v>207</v>
      </c>
      <c r="E76" s="477"/>
      <c r="F76" s="477"/>
      <c r="G76" s="477"/>
      <c r="H76" s="477"/>
      <c r="I76" s="477"/>
      <c r="J76" s="477"/>
      <c r="K76" s="477"/>
      <c r="L76" s="22"/>
      <c r="M76" s="22"/>
    </row>
    <row r="77" spans="2:13" ht="15.75" customHeight="1">
      <c r="B77" s="203"/>
      <c r="D77" s="476"/>
      <c r="E77" s="477"/>
      <c r="F77" s="477"/>
      <c r="G77" s="477"/>
      <c r="H77" s="477"/>
      <c r="I77" s="477"/>
      <c r="J77" s="477"/>
      <c r="K77" s="477"/>
      <c r="L77" s="22"/>
      <c r="M77" s="22"/>
    </row>
    <row r="78" spans="2:13" ht="15.75" customHeight="1">
      <c r="B78" s="203"/>
      <c r="D78" s="476"/>
      <c r="E78" s="477"/>
      <c r="F78" s="477"/>
      <c r="G78" s="477"/>
      <c r="H78" s="477"/>
      <c r="I78" s="477"/>
      <c r="J78" s="477"/>
      <c r="K78" s="477"/>
      <c r="L78" s="22"/>
      <c r="M78" s="22"/>
    </row>
    <row r="79" spans="2:13" ht="15.75" customHeight="1">
      <c r="B79" s="203"/>
      <c r="D79" s="476"/>
      <c r="E79" s="477"/>
      <c r="F79" s="477"/>
      <c r="G79" s="477"/>
      <c r="H79" s="477"/>
      <c r="I79" s="477"/>
      <c r="J79" s="477"/>
      <c r="K79" s="477"/>
      <c r="L79" s="22"/>
      <c r="M79" s="22"/>
    </row>
    <row r="80" spans="2:13" ht="15.75" customHeight="1">
      <c r="B80" s="203"/>
      <c r="C80" s="207"/>
      <c r="D80" s="477"/>
      <c r="E80" s="477"/>
      <c r="F80" s="477"/>
      <c r="G80" s="477"/>
      <c r="H80" s="477"/>
      <c r="I80" s="477"/>
      <c r="J80" s="477"/>
      <c r="K80" s="477"/>
      <c r="L80" s="22"/>
      <c r="M80" s="22"/>
    </row>
    <row r="81" spans="2:13" ht="19.5" customHeight="1">
      <c r="B81" s="203"/>
      <c r="C81" s="207"/>
      <c r="D81" s="477"/>
      <c r="E81" s="477"/>
      <c r="F81" s="477"/>
      <c r="G81" s="477"/>
      <c r="H81" s="477"/>
      <c r="I81" s="477"/>
      <c r="J81" s="477"/>
      <c r="K81" s="477"/>
      <c r="L81" s="22"/>
      <c r="M81" s="22"/>
    </row>
    <row r="82" spans="2:13" ht="9" customHeight="1">
      <c r="B82" s="203"/>
      <c r="C82" s="206"/>
      <c r="D82" s="206"/>
      <c r="E82" s="206"/>
      <c r="F82" s="206"/>
      <c r="G82" s="206"/>
      <c r="H82" s="206"/>
      <c r="I82" s="206"/>
      <c r="J82" s="206"/>
      <c r="K82" s="206"/>
      <c r="L82" s="22"/>
      <c r="M82" s="22"/>
    </row>
    <row r="83" spans="2:13" ht="15.75" customHeight="1">
      <c r="B83" s="203"/>
      <c r="C83" s="206"/>
      <c r="D83" s="476" t="s">
        <v>200</v>
      </c>
      <c r="E83" s="477"/>
      <c r="F83" s="477"/>
      <c r="G83" s="477"/>
      <c r="H83" s="477"/>
      <c r="I83" s="477"/>
      <c r="J83" s="477"/>
      <c r="K83" s="477"/>
      <c r="L83" s="22"/>
      <c r="M83" s="22"/>
    </row>
    <row r="84" spans="2:13" ht="15.75" customHeight="1">
      <c r="B84" s="203"/>
      <c r="C84" s="206"/>
      <c r="D84" s="477"/>
      <c r="E84" s="477"/>
      <c r="F84" s="477"/>
      <c r="G84" s="477"/>
      <c r="H84" s="477"/>
      <c r="I84" s="477"/>
      <c r="J84" s="477"/>
      <c r="K84" s="477"/>
      <c r="L84" s="22"/>
      <c r="M84" s="22"/>
    </row>
    <row r="85" spans="2:13" ht="15.75" customHeight="1">
      <c r="B85" s="203"/>
      <c r="C85" s="206"/>
      <c r="D85" s="477"/>
      <c r="E85" s="477"/>
      <c r="F85" s="477"/>
      <c r="G85" s="477"/>
      <c r="H85" s="477"/>
      <c r="I85" s="477"/>
      <c r="J85" s="477"/>
      <c r="K85" s="477"/>
      <c r="L85" s="22"/>
      <c r="M85" s="22"/>
    </row>
    <row r="86" spans="2:13" ht="15.75" customHeight="1">
      <c r="B86" s="203"/>
      <c r="C86" s="206"/>
      <c r="D86" s="477"/>
      <c r="E86" s="477"/>
      <c r="F86" s="477"/>
      <c r="G86" s="477"/>
      <c r="H86" s="477"/>
      <c r="I86" s="477"/>
      <c r="J86" s="477"/>
      <c r="K86" s="477"/>
      <c r="L86" s="22"/>
      <c r="M86" s="22"/>
    </row>
    <row r="87" spans="2:13" ht="15.75" customHeight="1">
      <c r="B87" s="203"/>
      <c r="C87" s="206"/>
      <c r="D87" s="477"/>
      <c r="E87" s="477"/>
      <c r="F87" s="477"/>
      <c r="G87" s="477"/>
      <c r="H87" s="477"/>
      <c r="I87" s="477"/>
      <c r="J87" s="477"/>
      <c r="K87" s="477"/>
      <c r="L87" s="22"/>
      <c r="M87" s="22"/>
    </row>
    <row r="88" spans="2:13" ht="18.75" customHeight="1">
      <c r="B88" s="203"/>
      <c r="C88" s="206"/>
      <c r="D88" s="477"/>
      <c r="E88" s="477"/>
      <c r="F88" s="477"/>
      <c r="G88" s="477"/>
      <c r="H88" s="477"/>
      <c r="I88" s="477"/>
      <c r="J88" s="477"/>
      <c r="K88" s="477"/>
      <c r="L88" s="22"/>
      <c r="M88" s="22"/>
    </row>
    <row r="89" spans="2:13" ht="9" customHeight="1">
      <c r="B89" s="203"/>
      <c r="C89" s="206"/>
      <c r="D89" s="206"/>
      <c r="E89" s="206"/>
      <c r="F89" s="206"/>
      <c r="G89" s="206"/>
      <c r="H89" s="206"/>
      <c r="I89" s="206"/>
      <c r="J89" s="206"/>
      <c r="K89" s="206"/>
      <c r="L89" s="22"/>
      <c r="M89" s="22"/>
    </row>
    <row r="90" spans="2:13" ht="15.75" customHeight="1">
      <c r="B90" s="203"/>
      <c r="C90" s="200" t="s">
        <v>166</v>
      </c>
      <c r="D90" s="186" t="s">
        <v>151</v>
      </c>
      <c r="E90" s="206"/>
      <c r="F90" s="206"/>
      <c r="G90" s="206"/>
      <c r="H90" s="206"/>
      <c r="I90" s="206"/>
      <c r="J90" s="206"/>
      <c r="K90" s="206"/>
      <c r="L90" s="22"/>
      <c r="M90" s="22"/>
    </row>
    <row r="91" spans="2:13" ht="9" customHeight="1">
      <c r="B91" s="203"/>
      <c r="C91" s="206"/>
      <c r="D91" s="206"/>
      <c r="E91" s="206"/>
      <c r="F91" s="206"/>
      <c r="G91" s="206"/>
      <c r="H91" s="206"/>
      <c r="I91" s="206"/>
      <c r="J91" s="206"/>
      <c r="K91" s="206"/>
      <c r="L91" s="22"/>
      <c r="M91" s="22"/>
    </row>
    <row r="92" spans="2:13" ht="15.75" customHeight="1">
      <c r="B92" s="203"/>
      <c r="D92" s="476" t="s">
        <v>155</v>
      </c>
      <c r="E92" s="477"/>
      <c r="F92" s="477"/>
      <c r="G92" s="477"/>
      <c r="H92" s="477"/>
      <c r="I92" s="477"/>
      <c r="J92" s="477"/>
      <c r="K92" s="477"/>
      <c r="L92" s="22"/>
      <c r="M92" s="22"/>
    </row>
    <row r="93" spans="2:13" ht="15.75" customHeight="1">
      <c r="B93" s="203"/>
      <c r="D93" s="476"/>
      <c r="E93" s="477"/>
      <c r="F93" s="477"/>
      <c r="G93" s="477"/>
      <c r="H93" s="477"/>
      <c r="I93" s="477"/>
      <c r="J93" s="477"/>
      <c r="K93" s="477"/>
      <c r="L93" s="22"/>
      <c r="M93" s="22"/>
    </row>
    <row r="94" spans="2:13" ht="15.75" customHeight="1">
      <c r="B94" s="203"/>
      <c r="D94" s="476"/>
      <c r="E94" s="477"/>
      <c r="F94" s="477"/>
      <c r="G94" s="477"/>
      <c r="H94" s="477"/>
      <c r="I94" s="477"/>
      <c r="J94" s="477"/>
      <c r="K94" s="477"/>
      <c r="L94" s="22"/>
      <c r="M94" s="22"/>
    </row>
    <row r="95" spans="2:13" ht="9.75" customHeight="1">
      <c r="B95" s="203"/>
      <c r="D95" s="476"/>
      <c r="E95" s="477"/>
      <c r="F95" s="477"/>
      <c r="G95" s="477"/>
      <c r="H95" s="477"/>
      <c r="I95" s="477"/>
      <c r="J95" s="477"/>
      <c r="K95" s="477"/>
      <c r="L95" s="22"/>
      <c r="M95" s="22"/>
    </row>
    <row r="96" spans="2:13" ht="9" customHeight="1">
      <c r="B96" s="203"/>
      <c r="C96" s="206"/>
      <c r="D96" s="206"/>
      <c r="E96" s="206"/>
      <c r="F96" s="206"/>
      <c r="G96" s="206"/>
      <c r="H96" s="206"/>
      <c r="I96" s="206"/>
      <c r="J96" s="206"/>
      <c r="K96" s="206"/>
      <c r="L96" s="22"/>
      <c r="M96" s="22"/>
    </row>
    <row r="97" spans="2:13" ht="15.75" customHeight="1">
      <c r="B97" s="203"/>
      <c r="C97" s="206"/>
      <c r="D97" s="476" t="s">
        <v>156</v>
      </c>
      <c r="E97" s="477"/>
      <c r="F97" s="477"/>
      <c r="G97" s="477"/>
      <c r="H97" s="477"/>
      <c r="I97" s="477"/>
      <c r="J97" s="477"/>
      <c r="K97" s="477"/>
      <c r="L97" s="22"/>
      <c r="M97" s="22"/>
    </row>
    <row r="98" spans="2:13" ht="15.75" customHeight="1">
      <c r="B98" s="203"/>
      <c r="C98" s="206"/>
      <c r="D98" s="476"/>
      <c r="E98" s="477"/>
      <c r="F98" s="477"/>
      <c r="G98" s="477"/>
      <c r="H98" s="477"/>
      <c r="I98" s="477"/>
      <c r="J98" s="477"/>
      <c r="K98" s="477"/>
      <c r="L98" s="22"/>
      <c r="M98" s="22"/>
    </row>
    <row r="99" spans="2:13" ht="15.75" customHeight="1">
      <c r="B99" s="203"/>
      <c r="C99" s="206"/>
      <c r="D99" s="476"/>
      <c r="E99" s="477"/>
      <c r="F99" s="477"/>
      <c r="G99" s="477"/>
      <c r="H99" s="477"/>
      <c r="I99" s="477"/>
      <c r="J99" s="477"/>
      <c r="K99" s="477"/>
      <c r="L99" s="22"/>
      <c r="M99" s="22"/>
    </row>
    <row r="100" spans="2:13" ht="15.75" customHeight="1">
      <c r="B100" s="203"/>
      <c r="C100" s="206"/>
      <c r="D100" s="476"/>
      <c r="E100" s="477"/>
      <c r="F100" s="477"/>
      <c r="G100" s="477"/>
      <c r="H100" s="477"/>
      <c r="I100" s="477"/>
      <c r="J100" s="477"/>
      <c r="K100" s="477"/>
      <c r="L100" s="22"/>
      <c r="M100" s="22"/>
    </row>
    <row r="101" spans="2:13" ht="5.25" customHeight="1">
      <c r="B101" s="203"/>
      <c r="C101" s="206"/>
      <c r="D101" s="476"/>
      <c r="E101" s="477"/>
      <c r="F101" s="477"/>
      <c r="G101" s="477"/>
      <c r="H101" s="477"/>
      <c r="I101" s="477"/>
      <c r="J101" s="477"/>
      <c r="K101" s="477"/>
      <c r="L101" s="22"/>
      <c r="M101" s="22"/>
    </row>
    <row r="102" spans="2:13" ht="9" customHeight="1">
      <c r="B102" s="203"/>
      <c r="C102" s="206"/>
      <c r="D102" s="206"/>
      <c r="E102" s="206"/>
      <c r="F102" s="206"/>
      <c r="G102" s="206"/>
      <c r="H102" s="206"/>
      <c r="I102" s="206"/>
      <c r="J102" s="206"/>
      <c r="K102" s="206"/>
      <c r="L102" s="22"/>
      <c r="M102" s="22"/>
    </row>
    <row r="103" spans="2:13" ht="15.75" customHeight="1">
      <c r="B103" s="203"/>
      <c r="C103" s="206"/>
      <c r="D103" s="476" t="s">
        <v>588</v>
      </c>
      <c r="E103" s="477"/>
      <c r="F103" s="477"/>
      <c r="G103" s="477"/>
      <c r="H103" s="477"/>
      <c r="I103" s="477"/>
      <c r="J103" s="477"/>
      <c r="K103" s="477"/>
      <c r="L103" s="22"/>
      <c r="M103" s="22"/>
    </row>
    <row r="104" spans="2:13" ht="15.75" customHeight="1">
      <c r="B104" s="203"/>
      <c r="C104" s="206"/>
      <c r="D104" s="476"/>
      <c r="E104" s="477"/>
      <c r="F104" s="477"/>
      <c r="G104" s="477"/>
      <c r="H104" s="477"/>
      <c r="I104" s="477"/>
      <c r="J104" s="477"/>
      <c r="K104" s="477"/>
      <c r="L104" s="22"/>
      <c r="M104" s="22"/>
    </row>
    <row r="105" spans="2:13" ht="15.75" customHeight="1">
      <c r="B105" s="203"/>
      <c r="C105" s="206"/>
      <c r="D105" s="476"/>
      <c r="E105" s="477"/>
      <c r="F105" s="477"/>
      <c r="G105" s="477"/>
      <c r="H105" s="477"/>
      <c r="I105" s="477"/>
      <c r="J105" s="477"/>
      <c r="K105" s="477"/>
      <c r="L105" s="22"/>
      <c r="M105" s="22"/>
    </row>
    <row r="106" spans="2:13" ht="15.75" customHeight="1">
      <c r="B106" s="203"/>
      <c r="C106" s="206"/>
      <c r="D106" s="476"/>
      <c r="E106" s="477"/>
      <c r="F106" s="477"/>
      <c r="G106" s="477"/>
      <c r="H106" s="477"/>
      <c r="I106" s="477"/>
      <c r="J106" s="477"/>
      <c r="K106" s="477"/>
      <c r="L106" s="22"/>
      <c r="M106" s="22"/>
    </row>
    <row r="107" spans="2:13" ht="15.75" customHeight="1">
      <c r="B107" s="203"/>
      <c r="C107" s="206"/>
      <c r="D107" s="476"/>
      <c r="E107" s="477"/>
      <c r="F107" s="477"/>
      <c r="G107" s="477"/>
      <c r="H107" s="477"/>
      <c r="I107" s="477"/>
      <c r="J107" s="477"/>
      <c r="K107" s="477"/>
      <c r="L107" s="22"/>
      <c r="M107" s="22"/>
    </row>
    <row r="108" spans="2:13" ht="15.75" customHeight="1">
      <c r="B108" s="203"/>
      <c r="C108" s="206"/>
      <c r="D108" s="476"/>
      <c r="E108" s="477"/>
      <c r="F108" s="477"/>
      <c r="G108" s="477"/>
      <c r="H108" s="477"/>
      <c r="I108" s="477"/>
      <c r="J108" s="477"/>
      <c r="K108" s="477"/>
      <c r="L108" s="22"/>
      <c r="M108" s="22"/>
    </row>
    <row r="109" spans="2:13" ht="3.75" customHeight="1">
      <c r="B109" s="203"/>
      <c r="C109" s="206"/>
      <c r="D109" s="476"/>
      <c r="E109" s="477"/>
      <c r="F109" s="477"/>
      <c r="G109" s="477"/>
      <c r="H109" s="477"/>
      <c r="I109" s="477"/>
      <c r="J109" s="477"/>
      <c r="K109" s="477"/>
      <c r="L109" s="22"/>
      <c r="M109" s="22"/>
    </row>
    <row r="110" spans="2:13" ht="9" customHeight="1">
      <c r="B110" s="203"/>
      <c r="C110" s="206"/>
      <c r="D110" s="191"/>
      <c r="E110" s="199"/>
      <c r="F110" s="199"/>
      <c r="G110" s="199"/>
      <c r="H110" s="199"/>
      <c r="I110" s="199"/>
      <c r="J110" s="199"/>
      <c r="K110" s="199"/>
      <c r="L110" s="22"/>
      <c r="M110" s="22"/>
    </row>
    <row r="111" spans="2:13" ht="15.75" customHeight="1">
      <c r="B111" s="208" t="s">
        <v>68</v>
      </c>
      <c r="C111" s="186" t="s">
        <v>30</v>
      </c>
      <c r="D111" s="186"/>
      <c r="E111" s="206"/>
      <c r="F111" s="206"/>
      <c r="G111" s="206"/>
      <c r="H111" s="206"/>
      <c r="I111" s="206"/>
      <c r="J111" s="206"/>
      <c r="K111" s="206"/>
      <c r="L111" s="22"/>
      <c r="M111" s="22"/>
    </row>
    <row r="112" spans="2:13" ht="9" customHeight="1">
      <c r="B112" s="203"/>
      <c r="C112" s="186"/>
      <c r="D112" s="186"/>
      <c r="E112" s="206"/>
      <c r="F112" s="206"/>
      <c r="G112" s="206"/>
      <c r="H112" s="206"/>
      <c r="I112" s="206"/>
      <c r="J112" s="206"/>
      <c r="K112" s="206"/>
      <c r="L112" s="22"/>
      <c r="M112" s="22"/>
    </row>
    <row r="113" spans="2:13" ht="15.75" customHeight="1">
      <c r="B113" s="203"/>
      <c r="C113" s="209" t="s">
        <v>31</v>
      </c>
      <c r="D113" s="209"/>
      <c r="E113" s="206"/>
      <c r="F113" s="206"/>
      <c r="G113" s="206"/>
      <c r="H113" s="206"/>
      <c r="I113" s="206"/>
      <c r="J113" s="206"/>
      <c r="K113" s="206"/>
      <c r="L113" s="22"/>
      <c r="M113" s="22"/>
    </row>
    <row r="114" spans="2:13" ht="9" customHeight="1">
      <c r="B114" s="203"/>
      <c r="C114" s="206"/>
      <c r="D114" s="206"/>
      <c r="E114" s="206"/>
      <c r="F114" s="206"/>
      <c r="G114" s="206"/>
      <c r="H114" s="206"/>
      <c r="I114" s="206"/>
      <c r="J114" s="206"/>
      <c r="K114" s="206"/>
      <c r="L114" s="22"/>
      <c r="M114" s="22"/>
    </row>
    <row r="115" spans="2:13" ht="15.75" customHeight="1">
      <c r="B115" s="208" t="s">
        <v>69</v>
      </c>
      <c r="C115" s="186" t="s">
        <v>70</v>
      </c>
      <c r="D115" s="206"/>
      <c r="E115" s="206"/>
      <c r="F115" s="206"/>
      <c r="G115" s="206"/>
      <c r="H115" s="206"/>
      <c r="I115" s="206"/>
      <c r="J115" s="206"/>
      <c r="K115" s="206"/>
      <c r="L115" s="22"/>
      <c r="M115" s="22"/>
    </row>
    <row r="116" spans="2:13" ht="9" customHeight="1">
      <c r="B116" s="203"/>
      <c r="C116" s="186"/>
      <c r="D116" s="206"/>
      <c r="E116" s="206"/>
      <c r="F116" s="206"/>
      <c r="G116" s="206"/>
      <c r="H116" s="206"/>
      <c r="I116" s="206"/>
      <c r="J116" s="206"/>
      <c r="K116" s="206"/>
      <c r="L116" s="22"/>
      <c r="M116" s="22"/>
    </row>
    <row r="117" spans="2:13" ht="15.75" customHeight="1">
      <c r="B117" s="203"/>
      <c r="C117" s="210" t="s">
        <v>47</v>
      </c>
      <c r="D117" s="209" t="s">
        <v>71</v>
      </c>
      <c r="E117" s="206"/>
      <c r="F117" s="206"/>
      <c r="G117" s="206"/>
      <c r="H117" s="206"/>
      <c r="I117" s="206"/>
      <c r="J117" s="206"/>
      <c r="K117" s="206"/>
      <c r="L117" s="22"/>
      <c r="M117" s="22"/>
    </row>
    <row r="118" spans="2:13" ht="9" customHeight="1">
      <c r="B118" s="203"/>
      <c r="C118" s="211"/>
      <c r="D118" s="206"/>
      <c r="E118" s="206"/>
      <c r="F118" s="206"/>
      <c r="G118" s="206"/>
      <c r="H118" s="206"/>
      <c r="I118" s="206"/>
      <c r="J118" s="206"/>
      <c r="K118" s="206"/>
      <c r="L118" s="22"/>
      <c r="M118" s="22"/>
    </row>
    <row r="119" spans="2:13" ht="15.75" customHeight="1">
      <c r="B119" s="187"/>
      <c r="C119" s="210" t="s">
        <v>47</v>
      </c>
      <c r="D119" s="476" t="s">
        <v>72</v>
      </c>
      <c r="E119" s="477"/>
      <c r="F119" s="477"/>
      <c r="G119" s="477"/>
      <c r="H119" s="477"/>
      <c r="I119" s="477"/>
      <c r="J119" s="477"/>
      <c r="K119" s="477"/>
      <c r="L119" s="22"/>
      <c r="M119" s="22"/>
    </row>
    <row r="120" spans="2:13" ht="9" customHeight="1">
      <c r="B120" s="187"/>
      <c r="D120" s="477"/>
      <c r="E120" s="477"/>
      <c r="F120" s="477"/>
      <c r="G120" s="477"/>
      <c r="H120" s="477"/>
      <c r="I120" s="477"/>
      <c r="J120" s="477"/>
      <c r="K120" s="477"/>
      <c r="L120" s="22"/>
      <c r="M120" s="22"/>
    </row>
    <row r="121" spans="2:13" ht="9" customHeight="1">
      <c r="B121" s="187"/>
      <c r="D121" s="199"/>
      <c r="E121" s="199"/>
      <c r="F121" s="199"/>
      <c r="G121" s="199"/>
      <c r="H121" s="199"/>
      <c r="I121" s="199"/>
      <c r="J121" s="199"/>
      <c r="K121" s="199"/>
      <c r="L121" s="22"/>
      <c r="M121" s="22"/>
    </row>
    <row r="122" spans="2:13" ht="15.75" customHeight="1">
      <c r="B122" s="187"/>
      <c r="C122" s="210" t="s">
        <v>47</v>
      </c>
      <c r="D122" s="192" t="s">
        <v>73</v>
      </c>
      <c r="E122" s="191"/>
      <c r="F122" s="191"/>
      <c r="G122" s="191"/>
      <c r="H122" s="191"/>
      <c r="I122" s="191"/>
      <c r="J122" s="191"/>
      <c r="K122" s="191"/>
      <c r="L122" s="22"/>
      <c r="M122" s="22"/>
    </row>
    <row r="123" spans="2:13" ht="9" customHeight="1">
      <c r="B123" s="187"/>
      <c r="C123" s="191"/>
      <c r="D123" s="191"/>
      <c r="E123" s="191"/>
      <c r="F123" s="191"/>
      <c r="G123" s="191"/>
      <c r="H123" s="191"/>
      <c r="I123" s="191"/>
      <c r="J123" s="191"/>
      <c r="K123" s="191"/>
      <c r="L123" s="22"/>
      <c r="M123" s="22"/>
    </row>
    <row r="124" spans="2:13" ht="15.75" customHeight="1">
      <c r="B124" s="196" t="s">
        <v>396</v>
      </c>
      <c r="C124" s="188" t="s">
        <v>33</v>
      </c>
      <c r="D124" s="191"/>
      <c r="E124" s="191"/>
      <c r="F124" s="191"/>
      <c r="G124" s="191"/>
      <c r="H124" s="191"/>
      <c r="I124" s="191"/>
      <c r="J124" s="191"/>
      <c r="K124" s="191"/>
      <c r="L124" s="22"/>
      <c r="M124" s="22"/>
    </row>
    <row r="125" spans="2:13" ht="9" customHeight="1">
      <c r="B125" s="187"/>
      <c r="C125" s="191"/>
      <c r="D125" s="191"/>
      <c r="E125" s="191"/>
      <c r="F125" s="191"/>
      <c r="G125" s="191"/>
      <c r="H125" s="191"/>
      <c r="I125" s="191"/>
      <c r="J125" s="191"/>
      <c r="K125" s="191"/>
      <c r="L125" s="22"/>
      <c r="M125" s="22"/>
    </row>
    <row r="126" spans="2:13" ht="15.75" customHeight="1">
      <c r="B126" s="187"/>
      <c r="C126" s="473" t="s">
        <v>34</v>
      </c>
      <c r="D126" s="474"/>
      <c r="E126" s="191"/>
      <c r="F126" s="191"/>
      <c r="G126" s="191"/>
      <c r="H126" s="191"/>
      <c r="I126" s="191"/>
      <c r="J126" s="191"/>
      <c r="K126" s="191"/>
      <c r="L126" s="22"/>
      <c r="M126" s="22"/>
    </row>
    <row r="127" spans="2:13" ht="9" customHeight="1">
      <c r="B127" s="187"/>
      <c r="C127" s="212"/>
      <c r="D127" s="213"/>
      <c r="E127" s="191"/>
      <c r="F127" s="191"/>
      <c r="G127" s="191"/>
      <c r="H127" s="191"/>
      <c r="I127" s="191"/>
      <c r="J127" s="191"/>
      <c r="K127" s="191"/>
      <c r="L127" s="22"/>
      <c r="M127" s="22"/>
    </row>
    <row r="128" spans="2:13" ht="15.75" customHeight="1">
      <c r="B128" s="187"/>
      <c r="C128" s="476" t="s">
        <v>35</v>
      </c>
      <c r="D128" s="476"/>
      <c r="E128" s="476"/>
      <c r="F128" s="476"/>
      <c r="G128" s="476"/>
      <c r="H128" s="476"/>
      <c r="I128" s="476"/>
      <c r="J128" s="476"/>
      <c r="K128" s="476"/>
      <c r="L128" s="22"/>
      <c r="M128" s="22"/>
    </row>
    <row r="129" spans="2:13" ht="15.75" customHeight="1">
      <c r="B129" s="187"/>
      <c r="C129" s="476"/>
      <c r="D129" s="476"/>
      <c r="E129" s="476"/>
      <c r="F129" s="476"/>
      <c r="G129" s="476"/>
      <c r="H129" s="476"/>
      <c r="I129" s="476"/>
      <c r="J129" s="476"/>
      <c r="K129" s="476"/>
      <c r="L129" s="22"/>
      <c r="M129" s="22"/>
    </row>
    <row r="130" spans="2:13" ht="9.75" customHeight="1">
      <c r="B130" s="187"/>
      <c r="C130" s="476"/>
      <c r="D130" s="476"/>
      <c r="E130" s="476"/>
      <c r="F130" s="476"/>
      <c r="G130" s="476"/>
      <c r="H130" s="476"/>
      <c r="I130" s="476"/>
      <c r="J130" s="476"/>
      <c r="K130" s="476"/>
      <c r="L130" s="22"/>
      <c r="M130" s="22"/>
    </row>
    <row r="131" spans="2:13" ht="9" customHeight="1">
      <c r="B131" s="187"/>
      <c r="C131" s="191"/>
      <c r="D131" s="191"/>
      <c r="E131" s="191"/>
      <c r="F131" s="191"/>
      <c r="G131" s="191"/>
      <c r="H131" s="191"/>
      <c r="I131" s="191"/>
      <c r="J131" s="191"/>
      <c r="K131" s="191"/>
      <c r="L131" s="22"/>
      <c r="M131" s="22"/>
    </row>
    <row r="132" spans="2:13" ht="15.75" customHeight="1">
      <c r="B132" s="187"/>
      <c r="C132" s="473" t="s">
        <v>36</v>
      </c>
      <c r="D132" s="474"/>
      <c r="E132" s="191"/>
      <c r="F132" s="191"/>
      <c r="G132" s="191"/>
      <c r="H132" s="191"/>
      <c r="I132" s="191"/>
      <c r="J132" s="191"/>
      <c r="K132" s="191"/>
      <c r="L132" s="22"/>
      <c r="M132" s="22"/>
    </row>
    <row r="133" spans="2:13" ht="9" customHeight="1">
      <c r="B133" s="187"/>
      <c r="C133" s="212"/>
      <c r="D133" s="213"/>
      <c r="E133" s="191"/>
      <c r="F133" s="191"/>
      <c r="G133" s="191"/>
      <c r="H133" s="191"/>
      <c r="I133" s="191"/>
      <c r="J133" s="191"/>
      <c r="K133" s="191"/>
      <c r="L133" s="22"/>
      <c r="M133" s="22"/>
    </row>
    <row r="134" spans="2:13" ht="15.75" customHeight="1">
      <c r="B134" s="187"/>
      <c r="C134" s="479" t="s">
        <v>37</v>
      </c>
      <c r="D134" s="476"/>
      <c r="E134" s="476"/>
      <c r="F134" s="476"/>
      <c r="G134" s="476"/>
      <c r="H134" s="476"/>
      <c r="I134" s="476"/>
      <c r="J134" s="476"/>
      <c r="K134" s="476"/>
      <c r="L134" s="214"/>
      <c r="M134" s="22"/>
    </row>
    <row r="135" spans="2:13" ht="13.5" customHeight="1">
      <c r="B135" s="187"/>
      <c r="C135" s="476"/>
      <c r="D135" s="476"/>
      <c r="E135" s="476"/>
      <c r="F135" s="476"/>
      <c r="G135" s="476"/>
      <c r="H135" s="476"/>
      <c r="I135" s="476"/>
      <c r="J135" s="476"/>
      <c r="K135" s="476"/>
      <c r="L135" s="214"/>
      <c r="M135" s="22"/>
    </row>
    <row r="136" spans="2:13" ht="9" customHeight="1">
      <c r="B136" s="187"/>
      <c r="C136" s="19"/>
      <c r="E136" s="19"/>
      <c r="F136" s="19"/>
      <c r="G136" s="19"/>
      <c r="H136" s="19"/>
      <c r="I136" s="19"/>
      <c r="J136" s="19"/>
      <c r="K136" s="19"/>
      <c r="L136" s="215"/>
      <c r="M136" s="22"/>
    </row>
    <row r="137" spans="2:13" ht="15.75" customHeight="1">
      <c r="B137" s="187"/>
      <c r="C137" s="479" t="s">
        <v>203</v>
      </c>
      <c r="D137" s="476"/>
      <c r="E137" s="476"/>
      <c r="F137" s="476"/>
      <c r="G137" s="476"/>
      <c r="H137" s="476"/>
      <c r="I137" s="476"/>
      <c r="J137" s="476"/>
      <c r="K137" s="476"/>
      <c r="L137" s="214"/>
      <c r="M137" s="22"/>
    </row>
    <row r="138" spans="2:13" ht="15.75" customHeight="1">
      <c r="B138" s="187"/>
      <c r="C138" s="476"/>
      <c r="D138" s="476"/>
      <c r="E138" s="476"/>
      <c r="F138" s="476"/>
      <c r="G138" s="476"/>
      <c r="H138" s="476"/>
      <c r="I138" s="476"/>
      <c r="J138" s="476"/>
      <c r="K138" s="476"/>
      <c r="L138" s="214"/>
      <c r="M138" s="22"/>
    </row>
    <row r="139" spans="2:13" ht="9" customHeight="1">
      <c r="B139" s="187"/>
      <c r="C139" s="19"/>
      <c r="E139" s="19"/>
      <c r="F139" s="19"/>
      <c r="G139" s="19"/>
      <c r="H139" s="19"/>
      <c r="I139" s="19"/>
      <c r="J139" s="19"/>
      <c r="K139" s="19"/>
      <c r="L139" s="215"/>
      <c r="M139" s="22"/>
    </row>
    <row r="140" spans="2:13" ht="15.75" customHeight="1">
      <c r="B140" s="187"/>
      <c r="C140" s="479" t="s">
        <v>38</v>
      </c>
      <c r="D140" s="476"/>
      <c r="E140" s="476"/>
      <c r="F140" s="476"/>
      <c r="G140" s="476"/>
      <c r="H140" s="476"/>
      <c r="I140" s="476"/>
      <c r="J140" s="476"/>
      <c r="K140" s="476"/>
      <c r="L140" s="214"/>
      <c r="M140" s="22"/>
    </row>
    <row r="141" spans="2:13" ht="15.75" customHeight="1">
      <c r="B141" s="187"/>
      <c r="C141" s="479"/>
      <c r="D141" s="476"/>
      <c r="E141" s="476"/>
      <c r="F141" s="476"/>
      <c r="G141" s="476"/>
      <c r="H141" s="476"/>
      <c r="I141" s="476"/>
      <c r="J141" s="476"/>
      <c r="K141" s="476"/>
      <c r="L141" s="214"/>
      <c r="M141" s="22"/>
    </row>
    <row r="142" spans="2:13" ht="13.5" customHeight="1">
      <c r="B142" s="187"/>
      <c r="C142" s="479"/>
      <c r="D142" s="476"/>
      <c r="E142" s="476"/>
      <c r="F142" s="476"/>
      <c r="G142" s="476"/>
      <c r="H142" s="476"/>
      <c r="I142" s="476"/>
      <c r="J142" s="476"/>
      <c r="K142" s="476"/>
      <c r="L142" s="214"/>
      <c r="M142" s="22"/>
    </row>
    <row r="143" spans="2:13" ht="9" customHeight="1">
      <c r="B143" s="187"/>
      <c r="C143" s="19"/>
      <c r="E143" s="19"/>
      <c r="F143" s="19"/>
      <c r="G143" s="19"/>
      <c r="H143" s="19"/>
      <c r="I143" s="19"/>
      <c r="J143" s="19"/>
      <c r="K143" s="19"/>
      <c r="L143" s="215"/>
      <c r="M143" s="22"/>
    </row>
    <row r="144" spans="2:13" ht="15.75" customHeight="1">
      <c r="B144" s="187"/>
      <c r="C144" s="479" t="s">
        <v>74</v>
      </c>
      <c r="D144" s="476"/>
      <c r="E144" s="476"/>
      <c r="F144" s="476"/>
      <c r="G144" s="476"/>
      <c r="H144" s="476"/>
      <c r="I144" s="476"/>
      <c r="J144" s="476"/>
      <c r="K144" s="476"/>
      <c r="L144" s="214"/>
      <c r="M144" s="22"/>
    </row>
    <row r="145" spans="2:13" ht="15.75" customHeight="1">
      <c r="B145" s="187"/>
      <c r="C145" s="479"/>
      <c r="D145" s="476"/>
      <c r="E145" s="476"/>
      <c r="F145" s="476"/>
      <c r="G145" s="476"/>
      <c r="H145" s="476"/>
      <c r="I145" s="476"/>
      <c r="J145" s="476"/>
      <c r="K145" s="476"/>
      <c r="L145" s="214"/>
      <c r="M145" s="22"/>
    </row>
    <row r="146" spans="2:13" ht="9.75" customHeight="1">
      <c r="B146" s="187"/>
      <c r="C146" s="476"/>
      <c r="D146" s="476"/>
      <c r="E146" s="476"/>
      <c r="F146" s="476"/>
      <c r="G146" s="476"/>
      <c r="H146" s="476"/>
      <c r="I146" s="476"/>
      <c r="J146" s="476"/>
      <c r="K146" s="476"/>
      <c r="L146" s="214"/>
      <c r="M146" s="22"/>
    </row>
    <row r="147" spans="2:13" ht="15.75" customHeight="1">
      <c r="B147" s="187"/>
      <c r="D147" s="188"/>
      <c r="E147" s="188"/>
      <c r="F147" s="188"/>
      <c r="I147" s="91">
        <v>2015</v>
      </c>
      <c r="J147" s="175"/>
      <c r="K147" s="91">
        <v>2014</v>
      </c>
      <c r="L147" s="22"/>
      <c r="M147" s="22"/>
    </row>
    <row r="148" spans="2:13" ht="15.75" customHeight="1">
      <c r="B148" s="187"/>
      <c r="D148" s="188"/>
      <c r="E148" s="188"/>
      <c r="F148" s="188"/>
      <c r="G148" s="187" t="s">
        <v>52</v>
      </c>
      <c r="I148" s="187" t="s">
        <v>0</v>
      </c>
      <c r="J148" s="187"/>
      <c r="K148" s="187" t="s">
        <v>0</v>
      </c>
      <c r="L148" s="22"/>
      <c r="M148" s="22"/>
    </row>
    <row r="149" spans="2:13" ht="15.75" customHeight="1">
      <c r="B149" s="196">
        <v>4</v>
      </c>
      <c r="C149" s="188" t="s">
        <v>122</v>
      </c>
      <c r="D149" s="188"/>
      <c r="E149" s="188"/>
      <c r="F149" s="188"/>
      <c r="I149" s="187"/>
      <c r="J149" s="187"/>
      <c r="K149" s="187"/>
      <c r="L149" s="22"/>
      <c r="M149" s="22"/>
    </row>
    <row r="150" spans="2:13" ht="9" customHeight="1">
      <c r="B150" s="187"/>
      <c r="D150" s="188"/>
      <c r="E150" s="188"/>
      <c r="F150" s="188"/>
      <c r="I150" s="187"/>
      <c r="J150" s="187"/>
      <c r="K150" s="187"/>
      <c r="L150" s="22"/>
      <c r="M150" s="22"/>
    </row>
    <row r="151" spans="2:13" ht="15.75" customHeight="1">
      <c r="B151" s="187"/>
      <c r="C151" s="192" t="s">
        <v>148</v>
      </c>
      <c r="E151" s="188"/>
      <c r="F151" s="188"/>
      <c r="G151" s="203" t="s">
        <v>157</v>
      </c>
      <c r="I151" s="216">
        <v>741955</v>
      </c>
      <c r="J151" s="187"/>
      <c r="K151" s="216">
        <v>741955</v>
      </c>
      <c r="L151" s="22"/>
      <c r="M151" s="22">
        <f>I151+I167</f>
        <v>2500000</v>
      </c>
    </row>
    <row r="152" spans="2:13" ht="15.75" customHeight="1">
      <c r="B152" s="187"/>
      <c r="C152" s="192" t="s">
        <v>158</v>
      </c>
      <c r="E152" s="188"/>
      <c r="F152" s="188"/>
      <c r="I152" s="216">
        <v>500000</v>
      </c>
      <c r="J152" s="187"/>
      <c r="K152" s="216">
        <v>500000</v>
      </c>
      <c r="L152" s="22"/>
      <c r="M152" s="22"/>
    </row>
    <row r="153" spans="2:13" ht="15.75" customHeight="1">
      <c r="B153" s="187"/>
      <c r="D153" s="188"/>
      <c r="E153" s="188"/>
      <c r="F153" s="188"/>
      <c r="I153" s="217"/>
      <c r="J153" s="187"/>
      <c r="K153" s="217"/>
      <c r="L153" s="22"/>
      <c r="M153" s="22"/>
    </row>
    <row r="154" spans="2:13" ht="15.75" customHeight="1" thickBot="1">
      <c r="D154" s="188"/>
      <c r="E154" s="188"/>
      <c r="F154" s="188"/>
      <c r="G154" s="187"/>
      <c r="H154" s="187"/>
      <c r="I154" s="218">
        <f>SUM(I151:I153)</f>
        <v>1241955</v>
      </c>
      <c r="J154" s="142"/>
      <c r="K154" s="218">
        <f>SUM(K151:K153)</f>
        <v>1241955</v>
      </c>
      <c r="L154" s="22"/>
      <c r="M154" s="22"/>
    </row>
    <row r="155" spans="2:13" ht="15.75" customHeight="1" thickTop="1">
      <c r="D155" s="188"/>
      <c r="E155" s="188"/>
      <c r="F155" s="188"/>
      <c r="G155" s="187"/>
      <c r="H155" s="187"/>
      <c r="I155" s="219"/>
      <c r="J155" s="142"/>
      <c r="K155" s="219"/>
      <c r="L155" s="22"/>
      <c r="M155" s="22"/>
    </row>
    <row r="156" spans="2:13" ht="20.25" customHeight="1">
      <c r="B156" s="196" t="str">
        <f>G151</f>
        <v>4.1</v>
      </c>
      <c r="C156" s="476" t="s">
        <v>592</v>
      </c>
      <c r="D156" s="476"/>
      <c r="E156" s="476"/>
      <c r="F156" s="476"/>
      <c r="G156" s="476"/>
      <c r="H156" s="476"/>
      <c r="I156" s="476"/>
      <c r="J156" s="476"/>
      <c r="K156" s="476"/>
      <c r="L156" s="22"/>
      <c r="M156" s="22"/>
    </row>
    <row r="157" spans="2:13" ht="15">
      <c r="B157" s="196"/>
      <c r="C157" s="476"/>
      <c r="D157" s="476"/>
      <c r="E157" s="476"/>
      <c r="F157" s="476"/>
      <c r="G157" s="476"/>
      <c r="H157" s="476"/>
      <c r="I157" s="476"/>
      <c r="J157" s="476"/>
      <c r="K157" s="476"/>
      <c r="L157" s="22"/>
      <c r="M157" s="22"/>
    </row>
    <row r="158" spans="2:13" ht="20.25" customHeight="1">
      <c r="B158" s="196"/>
      <c r="C158" s="476"/>
      <c r="D158" s="476"/>
      <c r="E158" s="476"/>
      <c r="F158" s="476"/>
      <c r="G158" s="476"/>
      <c r="H158" s="476"/>
      <c r="I158" s="476"/>
      <c r="J158" s="476"/>
      <c r="K158" s="476"/>
      <c r="L158" s="22"/>
      <c r="M158" s="22"/>
    </row>
    <row r="159" spans="2:13" ht="9" customHeight="1">
      <c r="C159" s="476"/>
      <c r="D159" s="476"/>
      <c r="E159" s="476"/>
      <c r="F159" s="476"/>
      <c r="G159" s="476"/>
      <c r="H159" s="476"/>
      <c r="I159" s="476"/>
      <c r="J159" s="476"/>
      <c r="K159" s="476"/>
      <c r="L159" s="22"/>
      <c r="M159" s="22"/>
    </row>
    <row r="160" spans="2:13" ht="9" customHeight="1">
      <c r="D160" s="188"/>
      <c r="E160" s="188"/>
      <c r="F160" s="188"/>
      <c r="G160" s="187"/>
      <c r="H160" s="187"/>
      <c r="I160" s="219"/>
      <c r="J160" s="142"/>
      <c r="K160" s="219"/>
      <c r="L160" s="22"/>
      <c r="M160" s="22"/>
    </row>
    <row r="161" spans="2:14" ht="15.75" customHeight="1">
      <c r="D161" s="188"/>
      <c r="E161" s="188"/>
      <c r="F161" s="188"/>
      <c r="I161" s="91">
        <v>2015</v>
      </c>
      <c r="J161" s="175"/>
      <c r="K161" s="91">
        <v>2014</v>
      </c>
      <c r="L161" s="22"/>
      <c r="M161" s="22"/>
    </row>
    <row r="162" spans="2:14" ht="15.75" customHeight="1">
      <c r="B162" s="187"/>
      <c r="D162" s="188"/>
      <c r="E162" s="188"/>
      <c r="F162" s="188"/>
      <c r="G162" s="187" t="s">
        <v>52</v>
      </c>
      <c r="I162" s="187" t="s">
        <v>0</v>
      </c>
      <c r="J162" s="187"/>
      <c r="K162" s="187" t="s">
        <v>0</v>
      </c>
      <c r="L162" s="22"/>
      <c r="M162" s="22"/>
    </row>
    <row r="163" spans="2:14" ht="15.75" customHeight="1">
      <c r="B163" s="187">
        <v>5</v>
      </c>
      <c r="C163" s="200" t="s">
        <v>146</v>
      </c>
      <c r="D163" s="188"/>
      <c r="E163" s="188"/>
      <c r="F163" s="188"/>
      <c r="G163" s="187"/>
      <c r="H163" s="187"/>
      <c r="I163" s="26"/>
      <c r="J163" s="22"/>
      <c r="K163" s="26"/>
      <c r="L163" s="22"/>
      <c r="M163" s="22"/>
    </row>
    <row r="164" spans="2:14" ht="9" customHeight="1">
      <c r="B164" s="187"/>
      <c r="C164" s="200"/>
      <c r="D164" s="188"/>
      <c r="E164" s="188"/>
      <c r="F164" s="188"/>
      <c r="G164" s="187"/>
      <c r="H164" s="187"/>
      <c r="I164" s="26"/>
      <c r="J164" s="22"/>
      <c r="K164" s="26"/>
      <c r="L164" s="22"/>
      <c r="M164" s="22"/>
    </row>
    <row r="165" spans="2:14" ht="15.75" customHeight="1">
      <c r="B165" s="187"/>
      <c r="C165" s="200" t="s">
        <v>159</v>
      </c>
      <c r="D165" s="188"/>
      <c r="E165" s="188"/>
      <c r="F165" s="188"/>
      <c r="G165" s="187"/>
      <c r="H165" s="187"/>
      <c r="I165" s="26"/>
      <c r="J165" s="22"/>
      <c r="K165" s="26"/>
      <c r="L165" s="22"/>
      <c r="M165" s="22"/>
    </row>
    <row r="166" spans="2:14" ht="15.75" customHeight="1">
      <c r="B166" s="187"/>
      <c r="D166" s="188"/>
      <c r="E166" s="188"/>
      <c r="F166" s="188"/>
      <c r="G166" s="187"/>
      <c r="H166" s="187"/>
      <c r="I166" s="26"/>
      <c r="J166" s="22"/>
      <c r="K166" s="26"/>
      <c r="L166" s="22"/>
      <c r="M166" s="22"/>
    </row>
    <row r="167" spans="2:14" ht="15.75" customHeight="1" thickBot="1">
      <c r="B167" s="187"/>
      <c r="C167" s="182" t="s">
        <v>160</v>
      </c>
      <c r="D167" s="192"/>
      <c r="E167" s="188"/>
      <c r="F167" s="188"/>
      <c r="G167" s="196" t="s">
        <v>161</v>
      </c>
      <c r="H167" s="187"/>
      <c r="I167" s="220">
        <f>'Trial 15'!J40</f>
        <v>1758045</v>
      </c>
      <c r="J167" s="22"/>
      <c r="K167" s="334">
        <v>1758045</v>
      </c>
      <c r="L167" s="22"/>
      <c r="M167" s="22">
        <f>I167+I151</f>
        <v>2500000</v>
      </c>
      <c r="N167" s="182">
        <f>K167/337590</f>
        <v>5.2076335199502353</v>
      </c>
    </row>
    <row r="168" spans="2:14" ht="15.75" customHeight="1" thickTop="1">
      <c r="B168" s="187"/>
      <c r="D168" s="188"/>
      <c r="E168" s="188"/>
      <c r="F168" s="188"/>
      <c r="G168" s="187"/>
      <c r="H168" s="187"/>
      <c r="I168" s="26"/>
      <c r="J168" s="22"/>
      <c r="K168" s="26"/>
      <c r="L168" s="22"/>
      <c r="M168" s="22"/>
    </row>
    <row r="169" spans="2:14" ht="15.75" customHeight="1">
      <c r="B169" s="187" t="str">
        <f>G167</f>
        <v>5.1</v>
      </c>
      <c r="C169" s="476" t="s">
        <v>591</v>
      </c>
      <c r="D169" s="476"/>
      <c r="E169" s="476"/>
      <c r="F169" s="476"/>
      <c r="G169" s="476"/>
      <c r="H169" s="476"/>
      <c r="I169" s="476"/>
      <c r="J169" s="476"/>
      <c r="K169" s="476"/>
      <c r="L169" s="22"/>
      <c r="M169" s="22"/>
    </row>
    <row r="170" spans="2:14" ht="15.75" customHeight="1">
      <c r="B170" s="187"/>
      <c r="C170" s="476"/>
      <c r="D170" s="476"/>
      <c r="E170" s="476"/>
      <c r="F170" s="476"/>
      <c r="G170" s="476"/>
      <c r="H170" s="476"/>
      <c r="I170" s="476"/>
      <c r="J170" s="476"/>
      <c r="K170" s="476"/>
      <c r="L170" s="22"/>
      <c r="M170" s="22"/>
      <c r="N170" s="182">
        <f>843975-506385</f>
        <v>337590</v>
      </c>
    </row>
    <row r="171" spans="2:14" ht="15.75" customHeight="1">
      <c r="B171" s="187"/>
      <c r="C171" s="476"/>
      <c r="D171" s="476"/>
      <c r="E171" s="476"/>
      <c r="F171" s="476"/>
      <c r="G171" s="476"/>
      <c r="H171" s="476"/>
      <c r="I171" s="476"/>
      <c r="J171" s="476"/>
      <c r="K171" s="476"/>
      <c r="L171" s="22"/>
      <c r="M171" s="22"/>
    </row>
    <row r="172" spans="2:14" ht="15.75" customHeight="1">
      <c r="B172" s="187"/>
      <c r="C172" s="476"/>
      <c r="D172" s="476"/>
      <c r="E172" s="476"/>
      <c r="F172" s="476"/>
      <c r="G172" s="476"/>
      <c r="H172" s="476"/>
      <c r="I172" s="476"/>
      <c r="J172" s="476"/>
      <c r="K172" s="476"/>
      <c r="L172" s="22"/>
      <c r="M172" s="22"/>
    </row>
    <row r="173" spans="2:14" ht="15.75" customHeight="1">
      <c r="B173" s="187"/>
      <c r="C173" s="476"/>
      <c r="D173" s="476"/>
      <c r="E173" s="476"/>
      <c r="F173" s="476"/>
      <c r="G173" s="476"/>
      <c r="H173" s="476"/>
      <c r="I173" s="476"/>
      <c r="J173" s="476"/>
      <c r="K173" s="476"/>
      <c r="L173" s="22"/>
      <c r="M173" s="22"/>
    </row>
    <row r="174" spans="2:14" ht="15.75" customHeight="1">
      <c r="B174" s="187"/>
      <c r="C174" s="476"/>
      <c r="D174" s="476"/>
      <c r="E174" s="476"/>
      <c r="F174" s="476"/>
      <c r="G174" s="476"/>
      <c r="H174" s="476"/>
      <c r="I174" s="476"/>
      <c r="J174" s="476"/>
      <c r="K174" s="476"/>
      <c r="L174" s="22"/>
      <c r="M174" s="22"/>
    </row>
    <row r="175" spans="2:14" ht="15.75" customHeight="1">
      <c r="B175" s="187"/>
      <c r="C175" s="476"/>
      <c r="D175" s="476"/>
      <c r="E175" s="476"/>
      <c r="F175" s="476"/>
      <c r="G175" s="476"/>
      <c r="H175" s="476"/>
      <c r="I175" s="476"/>
      <c r="J175" s="476"/>
      <c r="K175" s="476"/>
      <c r="L175" s="22"/>
      <c r="M175" s="22"/>
    </row>
    <row r="176" spans="2:14" ht="15.75" customHeight="1">
      <c r="B176" s="187"/>
      <c r="C176" s="476"/>
      <c r="D176" s="476"/>
      <c r="E176" s="476"/>
      <c r="F176" s="476"/>
      <c r="G176" s="476"/>
      <c r="H176" s="476"/>
      <c r="I176" s="476"/>
      <c r="J176" s="476"/>
      <c r="K176" s="476"/>
      <c r="L176" s="22"/>
      <c r="M176" s="22"/>
    </row>
    <row r="177" spans="2:13" ht="15">
      <c r="B177" s="187"/>
      <c r="C177" s="476" t="s">
        <v>589</v>
      </c>
      <c r="D177" s="476"/>
      <c r="E177" s="476"/>
      <c r="F177" s="476"/>
      <c r="G177" s="476"/>
      <c r="H177" s="476"/>
      <c r="I177" s="476"/>
      <c r="J177" s="476"/>
      <c r="K177" s="476"/>
      <c r="L177" s="22"/>
      <c r="M177" s="22"/>
    </row>
    <row r="178" spans="2:13" ht="15">
      <c r="B178" s="187"/>
      <c r="C178" s="476"/>
      <c r="D178" s="476"/>
      <c r="E178" s="476"/>
      <c r="F178" s="476"/>
      <c r="G178" s="476"/>
      <c r="H178" s="476"/>
      <c r="I178" s="476"/>
      <c r="J178" s="476"/>
      <c r="K178" s="476"/>
      <c r="L178" s="22"/>
      <c r="M178" s="22"/>
    </row>
    <row r="179" spans="2:13" ht="15">
      <c r="B179" s="187"/>
      <c r="C179" s="476"/>
      <c r="D179" s="476"/>
      <c r="E179" s="476"/>
      <c r="F179" s="476"/>
      <c r="G179" s="476"/>
      <c r="H179" s="476"/>
      <c r="I179" s="476"/>
      <c r="J179" s="476"/>
      <c r="K179" s="476"/>
      <c r="L179" s="22"/>
      <c r="M179" s="22"/>
    </row>
    <row r="180" spans="2:13" ht="15">
      <c r="B180" s="187"/>
      <c r="C180" s="476"/>
      <c r="D180" s="476"/>
      <c r="E180" s="476"/>
      <c r="F180" s="476"/>
      <c r="G180" s="476"/>
      <c r="H180" s="476"/>
      <c r="I180" s="476"/>
      <c r="J180" s="476"/>
      <c r="K180" s="476"/>
      <c r="L180" s="22"/>
      <c r="M180" s="22"/>
    </row>
    <row r="181" spans="2:13" ht="15">
      <c r="B181" s="187"/>
      <c r="C181" s="476"/>
      <c r="D181" s="476"/>
      <c r="E181" s="476"/>
      <c r="F181" s="476"/>
      <c r="G181" s="476"/>
      <c r="H181" s="476"/>
      <c r="I181" s="476"/>
      <c r="J181" s="476"/>
      <c r="K181" s="476"/>
      <c r="L181" s="22"/>
      <c r="M181" s="22"/>
    </row>
    <row r="182" spans="2:13" ht="15">
      <c r="B182" s="187"/>
      <c r="C182" s="476"/>
      <c r="D182" s="476"/>
      <c r="E182" s="476"/>
      <c r="F182" s="476"/>
      <c r="G182" s="476"/>
      <c r="H182" s="476"/>
      <c r="I182" s="476"/>
      <c r="J182" s="476"/>
      <c r="K182" s="476"/>
      <c r="L182" s="22"/>
      <c r="M182" s="22"/>
    </row>
    <row r="183" spans="2:13" ht="15">
      <c r="B183" s="187"/>
      <c r="C183" s="476" t="s">
        <v>590</v>
      </c>
      <c r="D183" s="476"/>
      <c r="E183" s="476"/>
      <c r="F183" s="476"/>
      <c r="G183" s="476"/>
      <c r="H183" s="476"/>
      <c r="I183" s="476"/>
      <c r="J183" s="476"/>
      <c r="K183" s="476"/>
      <c r="L183" s="22"/>
      <c r="M183" s="22"/>
    </row>
    <row r="184" spans="2:13" ht="15">
      <c r="B184" s="187"/>
      <c r="C184" s="476"/>
      <c r="D184" s="476"/>
      <c r="E184" s="476"/>
      <c r="F184" s="476"/>
      <c r="G184" s="476"/>
      <c r="H184" s="476"/>
      <c r="I184" s="476"/>
      <c r="J184" s="476"/>
      <c r="K184" s="476"/>
      <c r="L184" s="22"/>
      <c r="M184" s="22"/>
    </row>
    <row r="185" spans="2:13" ht="9" customHeight="1">
      <c r="B185" s="187"/>
      <c r="D185" s="188"/>
      <c r="E185" s="188"/>
      <c r="F185" s="188"/>
      <c r="G185" s="187"/>
      <c r="H185" s="187"/>
      <c r="I185" s="26"/>
      <c r="J185" s="22"/>
      <c r="K185" s="26"/>
      <c r="L185" s="22"/>
      <c r="M185" s="22"/>
    </row>
    <row r="186" spans="2:13" ht="15.75" customHeight="1">
      <c r="B186" s="196">
        <v>6</v>
      </c>
      <c r="C186" s="188" t="s">
        <v>75</v>
      </c>
      <c r="D186" s="188"/>
      <c r="E186" s="188"/>
      <c r="F186" s="188"/>
      <c r="G186" s="190"/>
      <c r="H186" s="22"/>
      <c r="I186" s="142"/>
      <c r="J186" s="142"/>
      <c r="K186" s="142"/>
      <c r="L186" s="22"/>
      <c r="M186" s="22"/>
    </row>
    <row r="187" spans="2:13" ht="9" customHeight="1">
      <c r="B187" s="187"/>
      <c r="D187" s="188"/>
      <c r="E187" s="188"/>
      <c r="F187" s="188"/>
      <c r="G187" s="190"/>
      <c r="H187" s="22"/>
      <c r="I187" s="142"/>
      <c r="J187" s="142"/>
      <c r="K187" s="142"/>
      <c r="L187" s="22"/>
      <c r="M187" s="22"/>
    </row>
    <row r="188" spans="2:13" ht="15.75" customHeight="1">
      <c r="B188" s="187"/>
      <c r="C188" s="476" t="s">
        <v>76</v>
      </c>
      <c r="D188" s="476"/>
      <c r="E188" s="476"/>
      <c r="F188" s="476"/>
      <c r="G188" s="476"/>
      <c r="H188" s="476"/>
      <c r="I188" s="476"/>
      <c r="J188" s="476"/>
      <c r="K188" s="476"/>
      <c r="L188" s="22"/>
      <c r="M188" s="22"/>
    </row>
    <row r="189" spans="2:13" ht="15.75" customHeight="1">
      <c r="B189" s="187"/>
      <c r="C189" s="476"/>
      <c r="D189" s="476"/>
      <c r="E189" s="476"/>
      <c r="F189" s="476"/>
      <c r="G189" s="476"/>
      <c r="H189" s="476"/>
      <c r="I189" s="476"/>
      <c r="J189" s="476"/>
      <c r="K189" s="476"/>
      <c r="L189" s="22"/>
      <c r="M189" s="22"/>
    </row>
    <row r="190" spans="2:13" ht="15.75" customHeight="1">
      <c r="B190" s="187"/>
      <c r="C190" s="191"/>
      <c r="D190" s="191"/>
      <c r="E190" s="191"/>
      <c r="F190" s="191"/>
      <c r="G190" s="191"/>
      <c r="H190" s="191"/>
      <c r="I190" s="91">
        <v>2015</v>
      </c>
      <c r="J190" s="175"/>
      <c r="K190" s="91">
        <v>2014</v>
      </c>
      <c r="L190" s="22"/>
      <c r="M190" s="22"/>
    </row>
    <row r="191" spans="2:13" ht="15.75" customHeight="1">
      <c r="B191" s="187"/>
      <c r="C191" s="191"/>
      <c r="D191" s="191"/>
      <c r="E191" s="191"/>
      <c r="F191" s="191"/>
      <c r="G191" s="191"/>
      <c r="H191" s="191"/>
      <c r="I191" s="187" t="s">
        <v>0</v>
      </c>
      <c r="J191" s="187"/>
      <c r="K191" s="187" t="s">
        <v>0</v>
      </c>
      <c r="L191" s="22"/>
      <c r="M191" s="22"/>
    </row>
    <row r="192" spans="2:13" ht="15.75" customHeight="1">
      <c r="B192" s="196">
        <v>7</v>
      </c>
      <c r="C192" s="188" t="s">
        <v>364</v>
      </c>
      <c r="D192" s="191"/>
      <c r="E192" s="191"/>
      <c r="F192" s="191"/>
      <c r="G192" s="191"/>
      <c r="H192" s="191"/>
      <c r="I192" s="187"/>
      <c r="J192" s="187"/>
      <c r="K192" s="187"/>
      <c r="L192" s="22"/>
      <c r="M192" s="22"/>
    </row>
    <row r="193" spans="2:13" ht="6.75" customHeight="1">
      <c r="B193" s="187"/>
      <c r="C193" s="174"/>
      <c r="D193" s="191"/>
      <c r="E193" s="191"/>
      <c r="F193" s="191"/>
      <c r="G193" s="191"/>
      <c r="H193" s="191"/>
      <c r="I193" s="187"/>
      <c r="J193" s="187"/>
      <c r="K193" s="187"/>
      <c r="L193" s="22"/>
      <c r="M193" s="22"/>
    </row>
    <row r="194" spans="2:13" ht="15.75" customHeight="1">
      <c r="B194" s="187"/>
      <c r="C194" s="176" t="s">
        <v>365</v>
      </c>
      <c r="D194" s="191"/>
      <c r="E194" s="191"/>
      <c r="F194" s="191"/>
      <c r="G194" s="191"/>
      <c r="H194" s="191"/>
      <c r="I194" s="187"/>
      <c r="J194" s="187"/>
      <c r="K194" s="187"/>
      <c r="L194" s="22"/>
      <c r="M194" s="22"/>
    </row>
    <row r="195" spans="2:13" ht="15.75" customHeight="1">
      <c r="B195" s="187"/>
      <c r="C195" s="177" t="s">
        <v>366</v>
      </c>
      <c r="D195" s="191"/>
      <c r="E195" s="191"/>
      <c r="F195" s="191"/>
      <c r="G195" s="191"/>
      <c r="H195" s="191"/>
      <c r="I195" s="216">
        <v>0</v>
      </c>
      <c r="J195" s="216"/>
      <c r="K195" s="216">
        <v>9693774</v>
      </c>
      <c r="L195" s="142"/>
      <c r="M195" s="22"/>
    </row>
    <row r="196" spans="2:13" ht="5.25" customHeight="1">
      <c r="B196" s="187"/>
      <c r="C196" s="177"/>
      <c r="D196" s="191"/>
      <c r="E196" s="191"/>
      <c r="F196" s="191"/>
      <c r="G196" s="191"/>
      <c r="H196" s="191"/>
      <c r="I196" s="216"/>
      <c r="J196" s="216"/>
      <c r="K196" s="216"/>
      <c r="L196" s="142"/>
      <c r="M196" s="22"/>
    </row>
    <row r="197" spans="2:13" ht="15.75" customHeight="1">
      <c r="B197" s="187"/>
      <c r="C197" s="177" t="s">
        <v>367</v>
      </c>
      <c r="D197" s="191"/>
      <c r="E197" s="191"/>
      <c r="F197" s="191"/>
      <c r="G197" s="191"/>
      <c r="H197" s="191"/>
      <c r="I197" s="216"/>
      <c r="J197" s="216"/>
      <c r="K197" s="216"/>
      <c r="L197" s="142"/>
      <c r="M197" s="22"/>
    </row>
    <row r="198" spans="2:13" ht="15.75" customHeight="1">
      <c r="B198" s="187"/>
      <c r="C198" s="178" t="s">
        <v>403</v>
      </c>
      <c r="D198" s="191"/>
      <c r="E198" s="191"/>
      <c r="F198" s="191"/>
      <c r="G198" s="191"/>
      <c r="H198" s="191"/>
      <c r="I198" s="300">
        <v>0</v>
      </c>
      <c r="J198" s="216"/>
      <c r="K198" s="216">
        <v>955266.20999999903</v>
      </c>
      <c r="L198" s="142"/>
      <c r="M198" s="22"/>
    </row>
    <row r="199" spans="2:13" ht="15.75" customHeight="1">
      <c r="B199" s="187"/>
      <c r="C199" s="191"/>
      <c r="D199" s="191"/>
      <c r="E199" s="191"/>
      <c r="F199" s="191"/>
      <c r="G199" s="191"/>
      <c r="H199" s="191"/>
      <c r="I199" s="26"/>
      <c r="J199" s="22"/>
      <c r="K199" s="23"/>
      <c r="L199" s="142"/>
      <c r="M199" s="22"/>
    </row>
    <row r="200" spans="2:13" ht="15.75" customHeight="1" thickBot="1">
      <c r="B200" s="187"/>
      <c r="C200" s="191"/>
      <c r="D200" s="191"/>
      <c r="E200" s="191"/>
      <c r="F200" s="191"/>
      <c r="G200" s="191"/>
      <c r="H200" s="191"/>
      <c r="I200" s="445">
        <f>SUM(I195:I198)</f>
        <v>0</v>
      </c>
      <c r="J200" s="22"/>
      <c r="K200" s="25">
        <f>K195+K198</f>
        <v>10649040.209999999</v>
      </c>
      <c r="L200" s="142"/>
      <c r="M200" s="22"/>
    </row>
    <row r="201" spans="2:13" ht="15.75" customHeight="1" thickTop="1">
      <c r="B201" s="187"/>
      <c r="C201" s="191"/>
      <c r="D201" s="191"/>
      <c r="E201" s="191"/>
      <c r="F201" s="191"/>
      <c r="G201" s="191"/>
      <c r="H201" s="191"/>
      <c r="I201" s="446"/>
      <c r="J201" s="175"/>
      <c r="K201" s="91"/>
      <c r="L201" s="142"/>
      <c r="M201" s="22"/>
    </row>
    <row r="202" spans="2:13" ht="15.75" customHeight="1">
      <c r="B202" s="196">
        <v>8</v>
      </c>
      <c r="C202" s="188" t="s">
        <v>77</v>
      </c>
      <c r="D202" s="188"/>
      <c r="E202" s="188"/>
      <c r="F202" s="188"/>
      <c r="G202" s="190"/>
      <c r="H202" s="22"/>
      <c r="I202" s="21"/>
      <c r="J202" s="21"/>
      <c r="K202" s="21"/>
      <c r="L202" s="22"/>
      <c r="M202" s="22"/>
    </row>
    <row r="203" spans="2:13" ht="9" customHeight="1">
      <c r="B203" s="221"/>
      <c r="C203" s="192"/>
      <c r="D203" s="192"/>
      <c r="E203" s="192"/>
      <c r="F203" s="192"/>
      <c r="G203" s="22"/>
      <c r="H203" s="22"/>
      <c r="L203" s="22"/>
      <c r="M203" s="22"/>
    </row>
    <row r="204" spans="2:13" ht="15.75" customHeight="1">
      <c r="B204" s="221"/>
      <c r="C204" s="22" t="s">
        <v>78</v>
      </c>
      <c r="D204" s="192"/>
      <c r="E204" s="192"/>
      <c r="F204" s="192"/>
      <c r="G204" s="22"/>
      <c r="H204" s="22"/>
      <c r="L204" s="22"/>
      <c r="M204" s="22"/>
    </row>
    <row r="205" spans="2:13" ht="9" customHeight="1">
      <c r="B205" s="221"/>
      <c r="C205" s="22"/>
      <c r="D205" s="192"/>
      <c r="E205" s="192"/>
      <c r="F205" s="192"/>
      <c r="G205" s="22"/>
      <c r="H205" s="22"/>
      <c r="I205" s="21"/>
      <c r="J205" s="21"/>
      <c r="K205" s="21"/>
      <c r="L205" s="22"/>
      <c r="M205" s="22"/>
    </row>
    <row r="206" spans="2:13" ht="15.75" customHeight="1">
      <c r="B206" s="221"/>
      <c r="C206" s="22" t="s">
        <v>79</v>
      </c>
      <c r="D206" s="192"/>
      <c r="E206" s="192"/>
      <c r="F206" s="192"/>
      <c r="G206" s="22"/>
      <c r="H206" s="22"/>
      <c r="I206" s="21">
        <f>'Trial 15 (2)'!L81</f>
        <v>70211.63</v>
      </c>
      <c r="J206" s="21"/>
      <c r="K206" s="21">
        <v>70211.63</v>
      </c>
      <c r="L206" s="22"/>
      <c r="M206" s="22"/>
    </row>
    <row r="207" spans="2:13" ht="15.75" customHeight="1">
      <c r="B207" s="221"/>
      <c r="C207" s="22" t="s">
        <v>80</v>
      </c>
      <c r="D207" s="192"/>
      <c r="E207" s="192"/>
      <c r="F207" s="192"/>
      <c r="G207" s="22"/>
      <c r="H207" s="22"/>
      <c r="I207" s="222">
        <f>'Trial 15 (2)'!L83+'Trial 15 (2)'!L84</f>
        <v>33751473.049999997</v>
      </c>
      <c r="J207" s="21"/>
      <c r="K207" s="21">
        <v>44589529.039999999</v>
      </c>
      <c r="L207" s="22"/>
      <c r="M207" s="22"/>
    </row>
    <row r="208" spans="2:13" ht="15.75" customHeight="1">
      <c r="B208" s="221"/>
      <c r="C208" s="192"/>
      <c r="D208" s="192"/>
      <c r="E208" s="192"/>
      <c r="F208" s="192"/>
      <c r="G208" s="22"/>
      <c r="H208" s="22"/>
      <c r="I208" s="26"/>
      <c r="J208" s="22"/>
      <c r="K208" s="23"/>
      <c r="L208" s="22"/>
      <c r="M208" s="22"/>
    </row>
    <row r="209" spans="2:13" ht="15.75" customHeight="1" thickBot="1">
      <c r="B209" s="221"/>
      <c r="C209" s="192"/>
      <c r="D209" s="192"/>
      <c r="E209" s="192"/>
      <c r="F209" s="192"/>
      <c r="G209" s="22"/>
      <c r="H209" s="22"/>
      <c r="I209" s="24">
        <f>SUM(I206:I207)</f>
        <v>33821684.68</v>
      </c>
      <c r="J209" s="22"/>
      <c r="K209" s="24">
        <f>SUM(K206:K207)</f>
        <v>44659740.670000002</v>
      </c>
      <c r="L209" s="22"/>
      <c r="M209" s="22"/>
    </row>
    <row r="210" spans="2:13" ht="15.75" customHeight="1" thickTop="1">
      <c r="B210" s="221"/>
      <c r="C210" s="192"/>
      <c r="D210" s="192"/>
      <c r="E210" s="192"/>
      <c r="F210" s="192"/>
      <c r="G210" s="22"/>
      <c r="H210" s="22"/>
      <c r="I210" s="22"/>
      <c r="J210" s="22"/>
      <c r="K210" s="22"/>
      <c r="L210" s="22"/>
      <c r="M210" s="22"/>
    </row>
    <row r="211" spans="2:13" ht="15.75" customHeight="1">
      <c r="B211" s="196">
        <v>9</v>
      </c>
      <c r="C211" s="188" t="s">
        <v>81</v>
      </c>
      <c r="D211" s="192"/>
      <c r="E211" s="192"/>
      <c r="F211" s="192"/>
      <c r="G211" s="22"/>
      <c r="H211" s="22"/>
      <c r="I211" s="22"/>
      <c r="J211" s="22"/>
      <c r="K211" s="22"/>
      <c r="L211" s="22"/>
      <c r="M211" s="22"/>
    </row>
    <row r="212" spans="2:13" ht="9" customHeight="1">
      <c r="B212" s="221"/>
      <c r="C212" s="192"/>
      <c r="D212" s="192"/>
      <c r="E212" s="192"/>
      <c r="F212" s="192"/>
      <c r="G212" s="22"/>
      <c r="H212" s="22"/>
      <c r="I212" s="22"/>
      <c r="J212" s="22"/>
      <c r="K212" s="22"/>
      <c r="L212" s="22"/>
      <c r="M212" s="22"/>
    </row>
    <row r="213" spans="2:13" ht="15.75" customHeight="1">
      <c r="B213" s="221"/>
      <c r="C213" s="188" t="s">
        <v>82</v>
      </c>
      <c r="D213" s="192"/>
      <c r="E213" s="192"/>
      <c r="F213" s="192"/>
      <c r="G213" s="22"/>
      <c r="H213" s="22"/>
      <c r="I213" s="22"/>
      <c r="J213" s="22"/>
      <c r="K213" s="22"/>
      <c r="L213" s="22"/>
      <c r="M213" s="22"/>
    </row>
    <row r="214" spans="2:13" ht="15.75" customHeight="1" thickBot="1">
      <c r="B214" s="221"/>
      <c r="C214" s="223" t="s">
        <v>517</v>
      </c>
      <c r="D214" s="192"/>
      <c r="E214" s="192"/>
      <c r="F214" s="192"/>
      <c r="G214" s="22"/>
      <c r="H214" s="22"/>
      <c r="I214" s="22">
        <v>10000000</v>
      </c>
      <c r="J214" s="22"/>
      <c r="K214" s="22">
        <v>10000000</v>
      </c>
      <c r="L214" s="22"/>
      <c r="M214" s="22"/>
    </row>
    <row r="215" spans="2:13" ht="15.75" customHeight="1" thickTop="1">
      <c r="B215" s="221"/>
      <c r="C215" s="192"/>
      <c r="D215" s="192"/>
      <c r="E215" s="192"/>
      <c r="F215" s="192"/>
      <c r="G215" s="22"/>
      <c r="H215" s="22"/>
      <c r="I215" s="224"/>
      <c r="J215" s="22"/>
      <c r="K215" s="224"/>
      <c r="L215" s="22"/>
      <c r="M215" s="22"/>
    </row>
    <row r="216" spans="2:13" ht="15.75" customHeight="1">
      <c r="B216" s="221"/>
      <c r="C216" s="188" t="s">
        <v>206</v>
      </c>
      <c r="D216" s="192"/>
      <c r="E216" s="192"/>
      <c r="F216" s="192"/>
      <c r="G216" s="22"/>
      <c r="H216" s="22"/>
      <c r="I216" s="22"/>
      <c r="J216" s="22"/>
      <c r="K216" s="22"/>
      <c r="L216" s="22"/>
      <c r="M216" s="22"/>
    </row>
    <row r="217" spans="2:13" ht="15.75" customHeight="1" thickBot="1">
      <c r="B217" s="221"/>
      <c r="C217" s="223" t="s">
        <v>517</v>
      </c>
      <c r="D217" s="192"/>
      <c r="E217" s="192"/>
      <c r="F217" s="192"/>
      <c r="G217" s="22"/>
      <c r="H217" s="22"/>
      <c r="I217" s="22">
        <v>10000000</v>
      </c>
      <c r="J217" s="22"/>
      <c r="K217" s="22">
        <v>10000000</v>
      </c>
      <c r="L217" s="22"/>
      <c r="M217" s="22"/>
    </row>
    <row r="218" spans="2:13" ht="15.75" customHeight="1" thickTop="1">
      <c r="B218" s="221"/>
      <c r="C218" s="192"/>
      <c r="D218" s="192"/>
      <c r="E218" s="192"/>
      <c r="F218" s="192"/>
      <c r="G218" s="22"/>
      <c r="H218" s="22"/>
      <c r="I218" s="224"/>
      <c r="J218" s="22"/>
      <c r="K218" s="224"/>
      <c r="L218" s="22"/>
      <c r="M218" s="22"/>
    </row>
    <row r="219" spans="2:13" ht="15.75" customHeight="1">
      <c r="B219" s="187">
        <f>+B211+1</f>
        <v>10</v>
      </c>
      <c r="C219" s="188" t="s">
        <v>191</v>
      </c>
      <c r="D219" s="192"/>
      <c r="E219" s="192"/>
      <c r="F219" s="192"/>
      <c r="G219" s="22"/>
      <c r="H219" s="22"/>
      <c r="I219" s="26"/>
      <c r="J219" s="22"/>
      <c r="K219" s="26"/>
      <c r="L219" s="22"/>
      <c r="M219" s="22"/>
    </row>
    <row r="220" spans="2:13" ht="9" customHeight="1">
      <c r="B220" s="221"/>
      <c r="C220" s="192"/>
      <c r="D220" s="192"/>
      <c r="E220" s="192"/>
      <c r="F220" s="192"/>
      <c r="G220" s="22"/>
      <c r="H220" s="22"/>
      <c r="I220" s="26"/>
      <c r="J220" s="22"/>
      <c r="K220" s="26"/>
      <c r="L220" s="22"/>
      <c r="M220" s="22"/>
    </row>
    <row r="221" spans="2:13" ht="15.75" customHeight="1">
      <c r="B221" s="221"/>
      <c r="C221" s="192" t="s">
        <v>192</v>
      </c>
      <c r="D221" s="192"/>
      <c r="E221" s="192"/>
      <c r="F221" s="192"/>
      <c r="G221" s="22"/>
      <c r="H221" s="22"/>
      <c r="I221" s="135"/>
      <c r="J221" s="22"/>
      <c r="K221" s="135"/>
      <c r="L221" s="22"/>
      <c r="M221" s="22"/>
    </row>
    <row r="222" spans="2:13" ht="15.75" customHeight="1" thickBot="1">
      <c r="B222" s="221"/>
      <c r="C222" s="225" t="s">
        <v>193</v>
      </c>
      <c r="D222" s="192"/>
      <c r="E222" s="192"/>
      <c r="F222" s="192"/>
      <c r="G222" s="22"/>
      <c r="H222" s="22"/>
      <c r="I222" s="136">
        <f>deffered!D9</f>
        <v>8246.2604399999982</v>
      </c>
      <c r="J222" s="22"/>
      <c r="K222" s="136">
        <v>8353.1150999999954</v>
      </c>
      <c r="L222" s="22"/>
      <c r="M222" s="22"/>
    </row>
    <row r="223" spans="2:13" ht="15.75" customHeight="1" thickTop="1">
      <c r="B223" s="221"/>
      <c r="C223" s="192"/>
      <c r="D223" s="192"/>
      <c r="E223" s="192"/>
      <c r="F223" s="192"/>
      <c r="G223" s="22"/>
      <c r="H223" s="22"/>
      <c r="I223" s="140"/>
      <c r="J223" s="22"/>
      <c r="K223" s="140"/>
      <c r="L223" s="22"/>
      <c r="M223" s="22"/>
    </row>
    <row r="224" spans="2:13" ht="15.75" customHeight="1">
      <c r="B224" s="221"/>
      <c r="C224" s="192" t="s">
        <v>194</v>
      </c>
      <c r="D224" s="192"/>
      <c r="E224" s="192"/>
      <c r="F224" s="192"/>
      <c r="G224" s="22"/>
      <c r="H224" s="22"/>
      <c r="I224" s="136">
        <f>K227</f>
        <v>8353.1150999999954</v>
      </c>
      <c r="J224" s="22"/>
      <c r="K224" s="136">
        <v>0</v>
      </c>
      <c r="L224" s="22"/>
      <c r="M224" s="22"/>
    </row>
    <row r="225" spans="2:17" ht="15.75" customHeight="1">
      <c r="B225" s="221"/>
      <c r="C225" s="225" t="s">
        <v>559</v>
      </c>
      <c r="D225" s="192"/>
      <c r="E225" s="192"/>
      <c r="F225" s="192"/>
      <c r="G225" s="22"/>
      <c r="H225" s="22"/>
      <c r="I225" s="136">
        <f>I222-I224</f>
        <v>-106.85465999999724</v>
      </c>
      <c r="J225" s="22"/>
      <c r="K225" s="136">
        <v>8353.1150999999954</v>
      </c>
      <c r="L225" s="22"/>
      <c r="M225" s="22"/>
    </row>
    <row r="226" spans="2:17" ht="15.75" customHeight="1">
      <c r="B226" s="221"/>
      <c r="C226" s="225"/>
      <c r="D226" s="192"/>
      <c r="E226" s="192"/>
      <c r="F226" s="192"/>
      <c r="G226" s="22"/>
      <c r="H226" s="22"/>
      <c r="I226" s="137"/>
      <c r="J226" s="22"/>
      <c r="K226" s="137"/>
      <c r="L226" s="22"/>
      <c r="M226" s="22"/>
    </row>
    <row r="227" spans="2:17" ht="15.75" customHeight="1" thickBot="1">
      <c r="B227" s="221"/>
      <c r="C227" s="225"/>
      <c r="D227" s="192"/>
      <c r="E227" s="192"/>
      <c r="F227" s="192"/>
      <c r="G227" s="22"/>
      <c r="H227" s="22"/>
      <c r="I227" s="138">
        <f>SUM(I224:I226)</f>
        <v>8246.2604399999982</v>
      </c>
      <c r="J227" s="22"/>
      <c r="K227" s="138">
        <f>+K224+K225</f>
        <v>8353.1150999999954</v>
      </c>
      <c r="L227" s="22"/>
      <c r="M227" s="22"/>
    </row>
    <row r="228" spans="2:17" ht="15.75" customHeight="1" thickTop="1">
      <c r="B228" s="221"/>
      <c r="C228" s="225"/>
      <c r="D228" s="192"/>
      <c r="E228" s="192"/>
      <c r="F228" s="192"/>
      <c r="G228" s="22"/>
      <c r="H228" s="22"/>
      <c r="I228" s="26"/>
      <c r="J228" s="22"/>
      <c r="K228" s="26"/>
      <c r="L228" s="22"/>
      <c r="M228" s="22"/>
    </row>
    <row r="229" spans="2:17" ht="15.75" hidden="1" customHeight="1">
      <c r="B229" s="221"/>
      <c r="C229" s="478" t="s">
        <v>195</v>
      </c>
      <c r="D229" s="478"/>
      <c r="E229" s="478"/>
      <c r="F229" s="478"/>
      <c r="G229" s="478"/>
      <c r="H229" s="478"/>
      <c r="I229" s="478"/>
      <c r="J229" s="478"/>
      <c r="K229" s="478"/>
      <c r="L229" s="139"/>
      <c r="M229" s="139"/>
    </row>
    <row r="230" spans="2:17" ht="15.75" hidden="1" customHeight="1">
      <c r="B230" s="221"/>
      <c r="C230" s="478"/>
      <c r="D230" s="478"/>
      <c r="E230" s="478"/>
      <c r="F230" s="478"/>
      <c r="G230" s="478"/>
      <c r="H230" s="478"/>
      <c r="I230" s="478"/>
      <c r="J230" s="478"/>
      <c r="K230" s="478"/>
      <c r="L230" s="139"/>
      <c r="M230" s="139"/>
    </row>
    <row r="231" spans="2:17" ht="12" hidden="1" customHeight="1">
      <c r="B231" s="221"/>
      <c r="C231" s="478"/>
      <c r="D231" s="478"/>
      <c r="E231" s="478"/>
      <c r="F231" s="478"/>
      <c r="G231" s="478"/>
      <c r="H231" s="478"/>
      <c r="I231" s="478"/>
      <c r="J231" s="478"/>
      <c r="K231" s="478"/>
      <c r="L231" s="139"/>
      <c r="M231" s="139"/>
    </row>
    <row r="232" spans="2:17" ht="15.75" customHeight="1">
      <c r="B232" s="196">
        <f>+B219+1</f>
        <v>11</v>
      </c>
      <c r="C232" s="188" t="s">
        <v>30</v>
      </c>
      <c r="D232" s="192"/>
      <c r="E232" s="192"/>
      <c r="F232" s="192"/>
      <c r="G232" s="22"/>
      <c r="H232" s="22"/>
      <c r="I232" s="22"/>
      <c r="J232" s="22"/>
      <c r="K232" s="22"/>
      <c r="L232" s="22"/>
      <c r="M232" s="22"/>
      <c r="O232" s="182">
        <f>140951+6241</f>
        <v>147192</v>
      </c>
      <c r="P232" s="182">
        <f>O232-146014</f>
        <v>1178</v>
      </c>
    </row>
    <row r="233" spans="2:17" ht="9" customHeight="1">
      <c r="B233" s="187"/>
      <c r="C233" s="192"/>
      <c r="D233" s="192"/>
      <c r="E233" s="192"/>
      <c r="F233" s="192"/>
      <c r="G233" s="22"/>
      <c r="H233" s="22"/>
      <c r="I233" s="22"/>
      <c r="J233" s="22"/>
      <c r="K233" s="22"/>
      <c r="L233" s="22"/>
      <c r="M233" s="22"/>
    </row>
    <row r="234" spans="2:17" ht="15.75" customHeight="1">
      <c r="B234" s="187"/>
      <c r="C234" s="192" t="s">
        <v>83</v>
      </c>
      <c r="D234" s="192"/>
      <c r="E234" s="192"/>
      <c r="F234" s="192"/>
      <c r="G234" s="22"/>
      <c r="H234" s="22"/>
      <c r="I234" s="227">
        <f>SUM('Trial 15 (2)'!M23:M77)-'Trial 15 (2)'!M28</f>
        <v>14752015.540000005</v>
      </c>
      <c r="J234" s="22"/>
      <c r="K234" s="142">
        <v>27084646.5</v>
      </c>
      <c r="L234" s="22"/>
      <c r="M234" s="22">
        <f>14879624-I234</f>
        <v>127608.45999999531</v>
      </c>
    </row>
    <row r="235" spans="2:17" ht="15.75" customHeight="1">
      <c r="B235" s="187"/>
      <c r="C235" s="192" t="s">
        <v>84</v>
      </c>
      <c r="D235" s="192"/>
      <c r="E235" s="192"/>
      <c r="F235" s="192"/>
      <c r="G235" s="22"/>
      <c r="H235" s="22"/>
      <c r="I235" s="22">
        <f>'Trial 15 (2)'!M10+'Trial 15 (2)'!M11+'Trial 15 (2)'!M78+'Trial 15 (2)'!M108+'Trial 15 (2)'!M109+'Trial 15 (2)'!M110-'Trial 15 (2)'!L109</f>
        <v>2632991.14</v>
      </c>
      <c r="J235" s="22"/>
      <c r="K235" s="142">
        <v>2578320.2799999998</v>
      </c>
      <c r="L235" s="22"/>
      <c r="M235" s="22"/>
      <c r="N235" s="182">
        <f>165730-91147+5308</f>
        <v>79891</v>
      </c>
      <c r="O235" s="182">
        <f>N235-131266</f>
        <v>-51375</v>
      </c>
      <c r="Q235" s="182">
        <f>92510-I235</f>
        <v>-2540481.14</v>
      </c>
    </row>
    <row r="236" spans="2:17" ht="15.75" customHeight="1">
      <c r="B236" s="187"/>
      <c r="C236" s="192"/>
      <c r="D236" s="192"/>
      <c r="E236" s="192"/>
      <c r="F236" s="192"/>
      <c r="G236" s="22"/>
      <c r="H236" s="22"/>
      <c r="I236" s="23"/>
      <c r="J236" s="22"/>
      <c r="K236" s="23"/>
      <c r="L236" s="22"/>
      <c r="M236" s="22"/>
    </row>
    <row r="237" spans="2:17" ht="15.75" customHeight="1" thickBot="1">
      <c r="B237" s="187"/>
      <c r="C237" s="192"/>
      <c r="D237" s="192"/>
      <c r="E237" s="192"/>
      <c r="F237" s="192"/>
      <c r="G237" s="22"/>
      <c r="H237" s="22"/>
      <c r="I237" s="24">
        <f>SUM(I233:I235)</f>
        <v>17385006.680000003</v>
      </c>
      <c r="J237" s="22"/>
      <c r="K237" s="24">
        <f>SUM(K233:K235)</f>
        <v>29662966.780000001</v>
      </c>
      <c r="L237" s="22"/>
      <c r="M237" s="22"/>
    </row>
    <row r="238" spans="2:17" ht="15.75" customHeight="1" thickTop="1">
      <c r="B238" s="187"/>
      <c r="C238" s="192"/>
      <c r="D238" s="192"/>
      <c r="E238" s="192"/>
      <c r="F238" s="192"/>
      <c r="G238" s="22"/>
      <c r="H238" s="22"/>
      <c r="I238" s="22"/>
      <c r="J238" s="22"/>
      <c r="K238" s="22"/>
      <c r="L238" s="22"/>
      <c r="M238" s="22"/>
    </row>
    <row r="239" spans="2:17" ht="15.75" customHeight="1">
      <c r="B239" s="187">
        <f>B232+1</f>
        <v>12</v>
      </c>
      <c r="C239" s="188" t="s">
        <v>204</v>
      </c>
      <c r="D239" s="192"/>
      <c r="E239" s="192"/>
      <c r="F239" s="192"/>
      <c r="G239" s="22"/>
      <c r="H239" s="22"/>
      <c r="I239" s="22"/>
      <c r="J239" s="22"/>
      <c r="K239" s="22"/>
      <c r="L239" s="22"/>
      <c r="M239" s="22"/>
    </row>
    <row r="240" spans="2:17" ht="9" customHeight="1">
      <c r="B240" s="187"/>
      <c r="C240" s="192"/>
      <c r="D240" s="192"/>
      <c r="E240" s="192"/>
      <c r="F240" s="192"/>
      <c r="G240" s="22"/>
      <c r="H240" s="22"/>
      <c r="I240" s="22"/>
      <c r="J240" s="22"/>
      <c r="K240" s="22"/>
      <c r="L240" s="22"/>
      <c r="M240" s="22"/>
    </row>
    <row r="241" spans="2:15" ht="15.75" customHeight="1">
      <c r="B241" s="187"/>
      <c r="C241" s="192" t="s">
        <v>404</v>
      </c>
      <c r="D241" s="192"/>
      <c r="E241" s="192"/>
      <c r="F241" s="192"/>
      <c r="G241" s="22"/>
      <c r="H241" s="22"/>
      <c r="I241" s="22"/>
      <c r="J241" s="22"/>
      <c r="K241" s="22"/>
      <c r="L241" s="22"/>
      <c r="M241" s="22"/>
    </row>
    <row r="242" spans="2:15" ht="7.5" customHeight="1">
      <c r="B242" s="187"/>
      <c r="C242" s="192"/>
      <c r="D242" s="192"/>
      <c r="E242" s="192"/>
      <c r="F242" s="192"/>
      <c r="G242" s="22"/>
      <c r="H242" s="22"/>
      <c r="I242" s="22"/>
      <c r="J242" s="22"/>
      <c r="K242" s="22"/>
      <c r="L242" s="22"/>
      <c r="M242" s="22"/>
    </row>
    <row r="243" spans="2:15" ht="15.75" customHeight="1">
      <c r="B243" s="187"/>
      <c r="C243" s="192"/>
      <c r="D243" s="192"/>
      <c r="E243" s="192"/>
      <c r="F243" s="192"/>
      <c r="G243" s="22"/>
      <c r="H243" s="22"/>
      <c r="I243" s="91">
        <v>2015</v>
      </c>
      <c r="J243" s="175"/>
      <c r="K243" s="91">
        <v>2014</v>
      </c>
      <c r="L243" s="22"/>
      <c r="M243" s="22"/>
    </row>
    <row r="244" spans="2:15" ht="15.75" customHeight="1">
      <c r="B244" s="187"/>
      <c r="C244" s="192"/>
      <c r="D244" s="192"/>
      <c r="E244" s="192"/>
      <c r="F244" s="192"/>
      <c r="G244" s="190" t="s">
        <v>52</v>
      </c>
      <c r="H244" s="22"/>
      <c r="I244" s="187" t="s">
        <v>0</v>
      </c>
      <c r="J244" s="187"/>
      <c r="K244" s="187" t="s">
        <v>0</v>
      </c>
      <c r="L244" s="22"/>
      <c r="M244" s="22"/>
    </row>
    <row r="245" spans="2:15" ht="3" customHeight="1">
      <c r="B245" s="187"/>
      <c r="C245" s="192"/>
      <c r="D245" s="192"/>
      <c r="E245" s="192"/>
      <c r="F245" s="192"/>
      <c r="G245" s="22"/>
      <c r="H245" s="22"/>
      <c r="I245" s="22"/>
      <c r="J245" s="22"/>
      <c r="K245" s="22"/>
      <c r="L245" s="22"/>
      <c r="M245" s="22"/>
    </row>
    <row r="246" spans="2:15" ht="15.75" customHeight="1">
      <c r="B246" s="196">
        <f>B239+1</f>
        <v>13</v>
      </c>
      <c r="C246" s="188" t="s">
        <v>85</v>
      </c>
      <c r="D246" s="192"/>
      <c r="E246" s="192"/>
      <c r="F246" s="192"/>
      <c r="G246" s="22"/>
      <c r="H246" s="22"/>
      <c r="I246" s="22"/>
      <c r="J246" s="22"/>
      <c r="K246" s="22"/>
      <c r="L246" s="22"/>
      <c r="M246" s="22"/>
    </row>
    <row r="247" spans="2:15" ht="9" customHeight="1">
      <c r="B247" s="187"/>
      <c r="C247" s="192"/>
      <c r="D247" s="192"/>
      <c r="E247" s="192"/>
      <c r="F247" s="192"/>
      <c r="G247" s="22"/>
      <c r="H247" s="22"/>
      <c r="I247" s="22"/>
      <c r="J247" s="22"/>
      <c r="K247" s="22"/>
      <c r="L247" s="22"/>
      <c r="M247" s="22"/>
      <c r="N247" s="182">
        <f>262872-26000-8100</f>
        <v>228772</v>
      </c>
      <c r="O247" s="182" t="e">
        <f>O232-#REF!</f>
        <v>#REF!</v>
      </c>
    </row>
    <row r="248" spans="2:15" ht="15.75" customHeight="1" thickBot="1">
      <c r="B248" s="187"/>
      <c r="C248" s="192" t="s">
        <v>86</v>
      </c>
      <c r="D248" s="192"/>
      <c r="E248" s="192"/>
      <c r="F248" s="192"/>
      <c r="G248" s="22"/>
      <c r="H248" s="22"/>
      <c r="I248" s="24">
        <f>'Trial 15 (2)'!M85</f>
        <v>1915546.83</v>
      </c>
      <c r="J248" s="22"/>
      <c r="K248" s="25">
        <v>1682258.95</v>
      </c>
      <c r="L248" s="22"/>
      <c r="M248" s="22"/>
    </row>
    <row r="249" spans="2:15" ht="15.75" customHeight="1" thickTop="1">
      <c r="B249" s="187"/>
      <c r="C249" s="192"/>
      <c r="D249" s="192"/>
      <c r="E249" s="192"/>
      <c r="F249" s="192"/>
      <c r="G249" s="22"/>
      <c r="H249" s="22"/>
      <c r="I249" s="22"/>
      <c r="J249" s="22"/>
      <c r="K249" s="22"/>
      <c r="L249" s="22"/>
      <c r="M249" s="22"/>
    </row>
    <row r="250" spans="2:15" ht="15.75" customHeight="1">
      <c r="B250" s="196">
        <f>+B246+1</f>
        <v>14</v>
      </c>
      <c r="C250" s="188" t="s">
        <v>87</v>
      </c>
      <c r="D250" s="188"/>
      <c r="E250" s="188"/>
      <c r="F250" s="188"/>
      <c r="G250" s="190"/>
      <c r="H250" s="22"/>
      <c r="I250" s="22"/>
      <c r="J250" s="22"/>
      <c r="K250" s="22"/>
      <c r="L250" s="22"/>
      <c r="M250" s="22"/>
    </row>
    <row r="251" spans="2:15" ht="9" customHeight="1">
      <c r="B251" s="196"/>
      <c r="C251" s="188"/>
      <c r="D251" s="188"/>
      <c r="E251" s="188"/>
      <c r="F251" s="188"/>
      <c r="G251" s="190"/>
      <c r="H251" s="22"/>
      <c r="I251" s="22"/>
      <c r="J251" s="22"/>
      <c r="K251" s="22"/>
      <c r="L251" s="22"/>
      <c r="M251" s="22"/>
    </row>
    <row r="252" spans="2:15" ht="15.75" customHeight="1">
      <c r="B252" s="221"/>
      <c r="C252" s="192" t="s">
        <v>88</v>
      </c>
      <c r="E252" s="192"/>
      <c r="F252" s="192"/>
      <c r="G252" s="22"/>
      <c r="H252" s="22"/>
      <c r="I252" s="27">
        <f>'Trial 15 (2)'!L90</f>
        <v>2986000</v>
      </c>
      <c r="J252" s="27"/>
      <c r="K252" s="27">
        <v>2866000</v>
      </c>
      <c r="L252" s="22"/>
      <c r="M252" s="22"/>
    </row>
    <row r="253" spans="2:15" ht="15.75" customHeight="1">
      <c r="B253" s="221"/>
      <c r="C253" s="192" t="s">
        <v>212</v>
      </c>
      <c r="E253" s="192"/>
      <c r="F253" s="192"/>
      <c r="G253" s="22"/>
      <c r="H253" s="22"/>
      <c r="I253" s="27">
        <f>'Trial 15 (2)'!L107+'Trial 15 (2)'!L96+'Trial 15 (2)'!L95</f>
        <v>33088</v>
      </c>
      <c r="J253" s="27"/>
      <c r="K253" s="27">
        <v>6958</v>
      </c>
      <c r="L253" s="22"/>
      <c r="M253" s="22"/>
    </row>
    <row r="254" spans="2:15" ht="15.75" customHeight="1">
      <c r="B254" s="221"/>
      <c r="C254" s="192" t="s">
        <v>213</v>
      </c>
      <c r="E254" s="192"/>
      <c r="F254" s="192"/>
      <c r="G254" s="22"/>
      <c r="H254" s="22"/>
      <c r="I254" s="27">
        <f>'Trial 15 (2)'!L93</f>
        <v>172089</v>
      </c>
      <c r="J254" s="27"/>
      <c r="K254" s="27">
        <v>167402</v>
      </c>
      <c r="L254" s="22"/>
      <c r="M254" s="22"/>
    </row>
    <row r="255" spans="2:15" ht="15.75" customHeight="1">
      <c r="B255" s="221"/>
      <c r="C255" s="192" t="s">
        <v>89</v>
      </c>
      <c r="E255" s="192"/>
      <c r="F255" s="192"/>
      <c r="G255" s="22"/>
      <c r="H255" s="22"/>
      <c r="I255" s="27">
        <f>'Trial 15 (2)'!L97+'Trial 15 (2)'!L91</f>
        <v>131989</v>
      </c>
      <c r="J255" s="27"/>
      <c r="K255" s="27">
        <v>94390</v>
      </c>
      <c r="L255" s="22"/>
      <c r="M255" s="22"/>
      <c r="N255" s="182">
        <f>91730-85350</f>
        <v>6380</v>
      </c>
      <c r="O255" s="182">
        <f>85350-58961</f>
        <v>26389</v>
      </c>
    </row>
    <row r="256" spans="2:15" ht="15.75" customHeight="1">
      <c r="B256" s="221"/>
      <c r="C256" s="192" t="s">
        <v>90</v>
      </c>
      <c r="E256" s="192"/>
      <c r="F256" s="192"/>
      <c r="G256" s="22"/>
      <c r="H256" s="22"/>
      <c r="I256" s="27">
        <f>'Trial 15 (2)'!L92</f>
        <v>8640</v>
      </c>
      <c r="J256" s="27"/>
      <c r="K256" s="27">
        <v>10330</v>
      </c>
      <c r="L256" s="22"/>
      <c r="M256" s="22"/>
    </row>
    <row r="257" spans="2:14" ht="15.75" customHeight="1">
      <c r="B257" s="221"/>
      <c r="C257" s="192" t="s">
        <v>381</v>
      </c>
      <c r="E257" s="192"/>
      <c r="F257" s="192"/>
      <c r="G257" s="22"/>
      <c r="H257" s="22"/>
      <c r="I257" s="27">
        <f>'Trial 15 (2)'!L101</f>
        <v>482710</v>
      </c>
      <c r="J257" s="27"/>
      <c r="K257" s="27">
        <v>360000</v>
      </c>
      <c r="L257" s="22"/>
      <c r="M257" s="22"/>
    </row>
    <row r="258" spans="2:14" ht="15.75" customHeight="1">
      <c r="B258" s="221"/>
      <c r="C258" s="192" t="s">
        <v>10</v>
      </c>
      <c r="E258" s="192"/>
      <c r="F258" s="192"/>
      <c r="G258" s="228"/>
      <c r="H258" s="22"/>
      <c r="I258" s="27">
        <f>'Trial 15 (2)'!L99</f>
        <v>67000</v>
      </c>
      <c r="J258" s="27"/>
      <c r="K258" s="27">
        <v>71650</v>
      </c>
      <c r="L258" s="22"/>
      <c r="M258" s="22"/>
    </row>
    <row r="259" spans="2:14" ht="15.75" customHeight="1">
      <c r="B259" s="221"/>
      <c r="C259" s="192" t="s">
        <v>40</v>
      </c>
      <c r="E259" s="192"/>
      <c r="F259" s="192"/>
      <c r="G259" s="190"/>
      <c r="H259" s="22"/>
      <c r="I259" s="27">
        <f>'Trial 15 (2)'!L105</f>
        <v>53025</v>
      </c>
      <c r="J259" s="27"/>
      <c r="K259" s="27">
        <v>50000</v>
      </c>
      <c r="L259" s="22"/>
      <c r="M259" s="22"/>
    </row>
    <row r="260" spans="2:14" ht="15.75" customHeight="1">
      <c r="B260" s="221"/>
      <c r="C260" s="192" t="s">
        <v>202</v>
      </c>
      <c r="E260" s="192"/>
      <c r="F260" s="192"/>
      <c r="G260" s="190"/>
      <c r="H260" s="22"/>
      <c r="I260" s="27">
        <f>'Trial 15 (2)'!L100</f>
        <v>45000</v>
      </c>
      <c r="J260" s="27"/>
      <c r="K260" s="27">
        <v>42000</v>
      </c>
      <c r="L260" s="22"/>
      <c r="M260" s="22"/>
    </row>
    <row r="261" spans="2:14" ht="15.75" customHeight="1">
      <c r="B261" s="221"/>
      <c r="C261" s="192" t="s">
        <v>91</v>
      </c>
      <c r="E261" s="192"/>
      <c r="F261" s="192"/>
      <c r="G261" s="187">
        <v>3</v>
      </c>
      <c r="H261" s="22"/>
      <c r="I261" s="27">
        <f>'Fixed Assets'!I23</f>
        <v>19469.342999999997</v>
      </c>
      <c r="J261" s="27"/>
      <c r="K261" s="27">
        <v>23949.469999999998</v>
      </c>
      <c r="L261" s="22"/>
      <c r="M261" s="22"/>
    </row>
    <row r="262" spans="2:14" ht="15.75" customHeight="1">
      <c r="B262" s="221"/>
      <c r="C262" s="192" t="s">
        <v>92</v>
      </c>
      <c r="E262" s="192"/>
      <c r="F262" s="192"/>
      <c r="G262" s="22"/>
      <c r="H262" s="22"/>
      <c r="I262" s="27">
        <f>'Trial 15 (2)'!L98+'Trial 15 (2)'!L102+'Trial 15 (2)'!L103+'Trial 15 (2)'!L104+'Trial 15 (2)'!L106+1</f>
        <v>330324</v>
      </c>
      <c r="J262" s="229"/>
      <c r="K262" s="27">
        <v>97794</v>
      </c>
      <c r="L262" s="22"/>
      <c r="M262" s="22"/>
    </row>
    <row r="263" spans="2:14" ht="15.75" customHeight="1">
      <c r="B263" s="221"/>
      <c r="C263" s="192"/>
      <c r="E263" s="192"/>
      <c r="F263" s="192"/>
      <c r="G263" s="22"/>
      <c r="H263" s="22"/>
      <c r="I263" s="20"/>
      <c r="J263" s="142"/>
      <c r="K263" s="20"/>
      <c r="L263" s="22"/>
      <c r="M263" s="22"/>
    </row>
    <row r="264" spans="2:14" ht="15.75" customHeight="1" thickBot="1">
      <c r="B264" s="221"/>
      <c r="C264" s="192"/>
      <c r="D264" s="192"/>
      <c r="E264" s="192"/>
      <c r="F264" s="192"/>
      <c r="G264" s="22"/>
      <c r="H264" s="22"/>
      <c r="I264" s="25">
        <f>SUM(I252:I262)</f>
        <v>4329334.3430000003</v>
      </c>
      <c r="J264" s="142"/>
      <c r="K264" s="25">
        <f>SUM(K252:K262)</f>
        <v>3790473.47</v>
      </c>
      <c r="L264" s="22"/>
      <c r="M264" s="22">
        <f>I264-I261</f>
        <v>4309865</v>
      </c>
      <c r="N264" s="182">
        <f>M264+I277</f>
        <v>4315093.3499999996</v>
      </c>
    </row>
    <row r="265" spans="2:14" ht="15.75" customHeight="1" thickTop="1">
      <c r="B265" s="187"/>
      <c r="C265" s="188"/>
      <c r="D265" s="188"/>
      <c r="E265" s="188"/>
      <c r="F265" s="188"/>
      <c r="G265" s="190"/>
      <c r="H265" s="22"/>
      <c r="I265" s="22"/>
      <c r="J265" s="22"/>
      <c r="K265" s="22"/>
      <c r="L265" s="22"/>
      <c r="M265" s="22"/>
      <c r="N265" s="182">
        <f>N264-1322041</f>
        <v>2993052.3499999996</v>
      </c>
    </row>
    <row r="266" spans="2:14" ht="15.75" customHeight="1">
      <c r="B266" s="196">
        <f>B250+1</f>
        <v>15</v>
      </c>
      <c r="C266" s="155" t="s">
        <v>350</v>
      </c>
      <c r="D266" s="155"/>
      <c r="E266" s="188"/>
      <c r="F266" s="188"/>
      <c r="G266" s="190"/>
      <c r="H266" s="22"/>
      <c r="I266" s="22"/>
      <c r="J266" s="22"/>
      <c r="K266" s="22"/>
      <c r="L266" s="22"/>
      <c r="M266" s="22"/>
    </row>
    <row r="267" spans="2:14" ht="6.75" customHeight="1">
      <c r="B267" s="187"/>
      <c r="C267" s="155"/>
      <c r="D267" s="155"/>
      <c r="E267" s="188"/>
      <c r="F267" s="188"/>
      <c r="G267" s="190"/>
      <c r="H267" s="22"/>
      <c r="I267" s="22"/>
      <c r="J267" s="22"/>
      <c r="K267" s="142"/>
      <c r="L267" s="22"/>
      <c r="M267" s="22"/>
    </row>
    <row r="268" spans="2:14" ht="15.75" customHeight="1">
      <c r="B268" s="187"/>
      <c r="C268" s="156" t="s">
        <v>142</v>
      </c>
      <c r="D268" s="155"/>
      <c r="E268" s="188"/>
      <c r="F268" s="188"/>
      <c r="G268" s="190"/>
      <c r="H268" s="22"/>
      <c r="I268" s="22">
        <f>'Trial 15 (2)'!M89</f>
        <v>2316916.3200000003</v>
      </c>
      <c r="J268" s="22"/>
      <c r="K268" s="142">
        <v>2943355.0300000003</v>
      </c>
      <c r="L268" s="22"/>
      <c r="M268" s="22"/>
    </row>
    <row r="269" spans="2:14" ht="15.75" customHeight="1">
      <c r="B269" s="187"/>
      <c r="C269" s="156" t="s">
        <v>351</v>
      </c>
      <c r="D269" s="155"/>
      <c r="E269" s="188"/>
      <c r="F269" s="188"/>
      <c r="G269" s="190"/>
      <c r="H269" s="22"/>
      <c r="I269" s="22">
        <f>'Trial 15 (2)'!M87</f>
        <v>815463.3</v>
      </c>
      <c r="J269" s="22"/>
      <c r="K269" s="142">
        <v>184397.5</v>
      </c>
      <c r="L269" s="22"/>
      <c r="M269" s="22"/>
    </row>
    <row r="270" spans="2:14" ht="15.75" customHeight="1">
      <c r="B270" s="187"/>
      <c r="C270" s="156" t="s">
        <v>352</v>
      </c>
      <c r="D270" s="155"/>
      <c r="E270" s="188"/>
      <c r="F270" s="188"/>
      <c r="G270" s="190"/>
      <c r="H270" s="22"/>
      <c r="I270" s="22"/>
      <c r="J270" s="22"/>
      <c r="K270" s="142"/>
      <c r="L270" s="22"/>
      <c r="M270" s="22"/>
    </row>
    <row r="271" spans="2:14" ht="15.75" customHeight="1">
      <c r="B271" s="187"/>
      <c r="C271" s="156" t="s">
        <v>353</v>
      </c>
      <c r="D271" s="155"/>
      <c r="E271" s="188"/>
      <c r="F271" s="188"/>
      <c r="G271" s="190"/>
      <c r="H271" s="22"/>
      <c r="I271" s="142">
        <v>0</v>
      </c>
      <c r="J271" s="22"/>
      <c r="K271" s="142">
        <v>955266.20999999903</v>
      </c>
      <c r="L271" s="22"/>
      <c r="M271" s="22"/>
    </row>
    <row r="272" spans="2:14" ht="15.75" customHeight="1">
      <c r="B272" s="187"/>
      <c r="C272" s="188"/>
      <c r="D272" s="188"/>
      <c r="E272" s="188"/>
      <c r="F272" s="188"/>
      <c r="G272" s="190"/>
      <c r="H272" s="22"/>
      <c r="I272" s="20"/>
      <c r="J272" s="142"/>
      <c r="K272" s="20"/>
      <c r="L272" s="22"/>
      <c r="M272" s="22"/>
    </row>
    <row r="273" spans="2:13" ht="15.75" customHeight="1" thickBot="1">
      <c r="B273" s="187"/>
      <c r="C273" s="188"/>
      <c r="D273" s="188"/>
      <c r="E273" s="188"/>
      <c r="F273" s="188"/>
      <c r="G273" s="190"/>
      <c r="H273" s="22"/>
      <c r="I273" s="25">
        <f>SUM(I268:I271)</f>
        <v>3132379.62</v>
      </c>
      <c r="J273" s="142"/>
      <c r="K273" s="25">
        <f>K268+K269+K271</f>
        <v>4083018.7399999993</v>
      </c>
      <c r="L273" s="22"/>
      <c r="M273" s="22"/>
    </row>
    <row r="274" spans="2:13" ht="15.75" customHeight="1" thickTop="1">
      <c r="B274" s="187"/>
      <c r="C274" s="188"/>
      <c r="D274" s="188"/>
      <c r="E274" s="188"/>
      <c r="F274" s="188"/>
      <c r="G274" s="190"/>
      <c r="H274" s="22"/>
      <c r="I274" s="22"/>
      <c r="J274" s="22"/>
      <c r="K274" s="22"/>
      <c r="L274" s="22"/>
      <c r="M274" s="22"/>
    </row>
    <row r="275" spans="2:13" ht="15.75" customHeight="1">
      <c r="B275" s="196">
        <f>B266+1</f>
        <v>16</v>
      </c>
      <c r="C275" s="188" t="s">
        <v>93</v>
      </c>
      <c r="D275" s="188"/>
      <c r="E275" s="188"/>
      <c r="F275" s="188"/>
      <c r="G275" s="190"/>
      <c r="H275" s="22"/>
      <c r="I275" s="22"/>
      <c r="J275" s="22"/>
      <c r="K275" s="22"/>
      <c r="L275" s="22"/>
      <c r="M275" s="22"/>
    </row>
    <row r="276" spans="2:13" ht="9" customHeight="1">
      <c r="B276" s="221"/>
      <c r="C276" s="192"/>
      <c r="D276" s="192"/>
      <c r="E276" s="192"/>
      <c r="F276" s="192"/>
      <c r="G276" s="22"/>
      <c r="H276" s="22"/>
      <c r="I276" s="26"/>
      <c r="J276" s="26"/>
      <c r="K276" s="26"/>
      <c r="L276" s="22"/>
      <c r="M276" s="22"/>
    </row>
    <row r="277" spans="2:13" ht="15.75" customHeight="1" thickBot="1">
      <c r="B277" s="221"/>
      <c r="C277" s="192" t="s">
        <v>94</v>
      </c>
      <c r="D277" s="192"/>
      <c r="E277" s="192"/>
      <c r="F277" s="192"/>
      <c r="G277" s="22"/>
      <c r="H277" s="22"/>
      <c r="I277" s="26">
        <f>'Trial 15 (2)'!L114</f>
        <v>5228.3500000000004</v>
      </c>
      <c r="J277" s="26"/>
      <c r="K277" s="26">
        <v>4876</v>
      </c>
      <c r="L277" s="22"/>
      <c r="M277" s="22"/>
    </row>
    <row r="278" spans="2:13" ht="5.25" customHeight="1" thickTop="1">
      <c r="B278" s="221"/>
      <c r="C278" s="192"/>
      <c r="D278" s="192"/>
      <c r="E278" s="192"/>
      <c r="F278" s="192"/>
      <c r="G278" s="22"/>
      <c r="H278" s="22"/>
      <c r="I278" s="141"/>
      <c r="J278" s="26"/>
      <c r="K278" s="141"/>
      <c r="L278" s="22"/>
      <c r="M278" s="22"/>
    </row>
    <row r="279" spans="2:13" ht="15.75" customHeight="1" thickBot="1">
      <c r="B279" s="221"/>
      <c r="C279" s="192"/>
      <c r="D279" s="192"/>
      <c r="E279" s="192"/>
      <c r="F279" s="192"/>
      <c r="G279" s="22"/>
      <c r="H279" s="22"/>
      <c r="I279" s="25">
        <f>SUM(I277:I277)</f>
        <v>5228.3500000000004</v>
      </c>
      <c r="J279" s="26"/>
      <c r="K279" s="25">
        <f>SUM(K277:K277)</f>
        <v>4876</v>
      </c>
      <c r="L279" s="22"/>
      <c r="M279" s="22"/>
    </row>
    <row r="280" spans="2:13" ht="4.5" customHeight="1" thickTop="1">
      <c r="B280" s="221"/>
      <c r="C280" s="192"/>
      <c r="D280" s="192"/>
      <c r="E280" s="192"/>
      <c r="F280" s="192"/>
      <c r="G280" s="22"/>
      <c r="H280" s="22"/>
      <c r="I280" s="22"/>
      <c r="J280" s="26"/>
      <c r="K280" s="22"/>
      <c r="L280" s="22"/>
      <c r="M280" s="22"/>
    </row>
    <row r="281" spans="2:13" ht="15.75" customHeight="1">
      <c r="B281" s="221"/>
      <c r="C281" s="192"/>
      <c r="D281" s="192"/>
      <c r="E281" s="192"/>
      <c r="F281" s="192"/>
      <c r="G281" s="22"/>
      <c r="H281" s="22"/>
      <c r="I281" s="22"/>
      <c r="J281" s="26"/>
      <c r="K281" s="22"/>
      <c r="L281" s="22"/>
      <c r="M281" s="22"/>
    </row>
    <row r="282" spans="2:13" ht="15.75" customHeight="1">
      <c r="B282" s="196">
        <f>B275+1</f>
        <v>17</v>
      </c>
      <c r="C282" s="188" t="s">
        <v>394</v>
      </c>
      <c r="D282" s="192"/>
      <c r="E282" s="192"/>
      <c r="F282" s="192"/>
      <c r="G282" s="22"/>
      <c r="H282" s="22"/>
      <c r="I282" s="22"/>
      <c r="J282" s="26"/>
      <c r="K282" s="22"/>
      <c r="L282" s="22"/>
      <c r="M282" s="22"/>
    </row>
    <row r="283" spans="2:13" ht="4.5" customHeight="1">
      <c r="B283" s="221"/>
      <c r="C283" s="192"/>
      <c r="D283" s="192"/>
      <c r="E283" s="192"/>
      <c r="F283" s="192"/>
      <c r="G283" s="22"/>
      <c r="H283" s="22"/>
      <c r="I283" s="22"/>
      <c r="J283" s="26"/>
      <c r="K283" s="22"/>
      <c r="L283" s="22"/>
      <c r="M283" s="22"/>
    </row>
    <row r="284" spans="2:13" ht="15.75" customHeight="1">
      <c r="B284" s="221"/>
      <c r="C284" s="192" t="s">
        <v>391</v>
      </c>
      <c r="D284" s="192"/>
      <c r="E284" s="192"/>
      <c r="F284" s="192"/>
      <c r="G284" s="22"/>
      <c r="H284" s="22"/>
      <c r="I284" s="22"/>
      <c r="J284" s="26"/>
      <c r="K284" s="22"/>
      <c r="L284" s="22"/>
      <c r="M284" s="22"/>
    </row>
    <row r="285" spans="2:13" ht="6" customHeight="1">
      <c r="B285" s="221"/>
      <c r="C285" s="192"/>
      <c r="D285" s="192"/>
      <c r="E285" s="192"/>
      <c r="F285" s="192"/>
      <c r="G285" s="22"/>
      <c r="H285" s="22"/>
      <c r="I285" s="22"/>
      <c r="J285" s="26"/>
      <c r="K285" s="22"/>
      <c r="L285" s="22"/>
      <c r="M285" s="22"/>
    </row>
    <row r="286" spans="2:13" ht="15.75" customHeight="1">
      <c r="B286" s="221"/>
      <c r="C286" s="192" t="s">
        <v>392</v>
      </c>
      <c r="D286" s="192"/>
      <c r="E286" s="192"/>
      <c r="F286" s="192"/>
      <c r="G286" s="22"/>
      <c r="H286" s="22"/>
      <c r="I286" s="142">
        <f>'Provision-Final'!L43</f>
        <v>843477.47666297131</v>
      </c>
      <c r="J286" s="310"/>
      <c r="K286" s="142">
        <v>497552.05982076039</v>
      </c>
      <c r="L286" s="22"/>
      <c r="M286" s="22"/>
    </row>
    <row r="287" spans="2:13" ht="15.75" customHeight="1">
      <c r="B287" s="221"/>
      <c r="C287" s="192" t="s">
        <v>393</v>
      </c>
      <c r="D287" s="192"/>
      <c r="E287" s="192"/>
      <c r="F287" s="192"/>
      <c r="G287" s="22"/>
      <c r="H287" s="22"/>
      <c r="I287" s="416">
        <v>0</v>
      </c>
      <c r="J287" s="310"/>
      <c r="K287" s="142">
        <v>-13602</v>
      </c>
      <c r="L287" s="22"/>
      <c r="M287" s="22">
        <f>1511-K286</f>
        <v>-496041.05982076039</v>
      </c>
    </row>
    <row r="288" spans="2:13" ht="15.75" customHeight="1">
      <c r="B288" s="221"/>
      <c r="C288" s="192"/>
      <c r="D288" s="192"/>
      <c r="E288" s="192"/>
      <c r="F288" s="192"/>
      <c r="G288" s="22"/>
      <c r="H288" s="22"/>
      <c r="I288" s="20"/>
      <c r="J288" s="142"/>
      <c r="K288" s="20"/>
      <c r="L288" s="22"/>
      <c r="M288" s="22"/>
    </row>
    <row r="289" spans="2:19" ht="15.75" customHeight="1" thickBot="1">
      <c r="B289" s="221"/>
      <c r="C289" s="192"/>
      <c r="D289" s="192"/>
      <c r="E289" s="192"/>
      <c r="F289" s="192"/>
      <c r="G289" s="22"/>
      <c r="H289" s="22"/>
      <c r="I289" s="25">
        <f>SUM(I286:I287)</f>
        <v>843477.47666297131</v>
      </c>
      <c r="J289" s="142"/>
      <c r="K289" s="25">
        <f>SUM(K286:K287)</f>
        <v>483950.05982076039</v>
      </c>
      <c r="L289" s="22"/>
      <c r="M289" s="22"/>
    </row>
    <row r="290" spans="2:19" ht="15.75" customHeight="1" thickTop="1">
      <c r="B290" s="221"/>
      <c r="C290" s="192"/>
      <c r="D290" s="192"/>
      <c r="E290" s="192"/>
      <c r="F290" s="192"/>
      <c r="G290" s="22"/>
      <c r="H290" s="22"/>
      <c r="I290" s="22"/>
      <c r="J290" s="26"/>
      <c r="K290" s="22"/>
      <c r="L290" s="22"/>
      <c r="M290" s="22"/>
    </row>
    <row r="291" spans="2:19" ht="15.75" customHeight="1">
      <c r="B291" s="221"/>
      <c r="C291" s="192"/>
      <c r="D291" s="192"/>
      <c r="E291" s="192"/>
      <c r="F291" s="192"/>
      <c r="G291" s="22"/>
      <c r="H291" s="22"/>
      <c r="I291" s="91">
        <v>2015</v>
      </c>
      <c r="J291" s="175"/>
      <c r="K291" s="91">
        <v>2014</v>
      </c>
      <c r="L291" s="22"/>
      <c r="M291" s="22"/>
    </row>
    <row r="292" spans="2:19" ht="4.5" customHeight="1">
      <c r="B292" s="221"/>
      <c r="C292" s="192"/>
      <c r="D292" s="192"/>
      <c r="E292" s="192"/>
      <c r="F292" s="192"/>
      <c r="G292" s="22"/>
      <c r="H292" s="22"/>
      <c r="I292" s="22"/>
      <c r="J292" s="26"/>
      <c r="K292" s="22"/>
      <c r="L292" s="22"/>
      <c r="M292" s="22"/>
    </row>
    <row r="293" spans="2:19" ht="15.75" customHeight="1">
      <c r="B293" s="196">
        <f>B282+1</f>
        <v>18</v>
      </c>
      <c r="C293" s="188" t="s">
        <v>163</v>
      </c>
      <c r="D293" s="192"/>
      <c r="E293" s="192"/>
      <c r="F293" s="192"/>
      <c r="G293" s="22"/>
      <c r="H293" s="22"/>
      <c r="I293" s="91"/>
      <c r="J293" s="175"/>
      <c r="K293" s="91"/>
      <c r="L293" s="22"/>
      <c r="M293" s="22"/>
    </row>
    <row r="294" spans="2:19" ht="9" customHeight="1">
      <c r="B294" s="221"/>
      <c r="C294" s="192"/>
      <c r="D294" s="192"/>
      <c r="E294" s="192"/>
      <c r="F294" s="192"/>
      <c r="G294" s="22"/>
      <c r="H294" s="22"/>
      <c r="I294" s="22"/>
      <c r="J294" s="26"/>
      <c r="K294" s="22"/>
      <c r="L294" s="22"/>
      <c r="M294" s="22"/>
    </row>
    <row r="295" spans="2:19" ht="9" customHeight="1">
      <c r="B295" s="221"/>
      <c r="C295" s="192"/>
      <c r="D295" s="192"/>
      <c r="E295" s="192"/>
      <c r="F295" s="192"/>
      <c r="G295" s="22"/>
      <c r="H295" s="22"/>
      <c r="I295" s="22"/>
      <c r="J295" s="26"/>
      <c r="K295" s="22"/>
      <c r="L295" s="22"/>
      <c r="M295" s="22"/>
      <c r="N295" s="68">
        <v>1000000</v>
      </c>
      <c r="O295" s="68">
        <f>+N297*0.25</f>
        <v>250000</v>
      </c>
    </row>
    <row r="296" spans="2:19" ht="15.75" customHeight="1" thickBot="1">
      <c r="B296" s="221"/>
      <c r="C296" s="192" t="s">
        <v>578</v>
      </c>
      <c r="D296" s="192"/>
      <c r="E296" s="192"/>
      <c r="F296" s="192"/>
      <c r="G296" s="22"/>
      <c r="H296" s="22"/>
      <c r="I296" s="220">
        <v>1000000</v>
      </c>
      <c r="J296" s="26"/>
      <c r="K296" s="220">
        <v>1000000</v>
      </c>
      <c r="L296" s="22"/>
      <c r="M296" s="22"/>
      <c r="N296" s="68"/>
    </row>
    <row r="297" spans="2:19" ht="9" customHeight="1" thickTop="1">
      <c r="B297" s="221"/>
      <c r="C297" s="192"/>
      <c r="D297" s="192"/>
      <c r="E297" s="192"/>
      <c r="F297" s="192"/>
      <c r="G297" s="22"/>
      <c r="H297" s="22"/>
      <c r="I297" s="22"/>
      <c r="J297" s="26"/>
      <c r="K297" s="22"/>
      <c r="L297" s="22"/>
      <c r="M297" s="22"/>
      <c r="N297" s="68">
        <f>SUM(N295:N296)</f>
        <v>1000000</v>
      </c>
      <c r="O297" s="68">
        <f>SUM(O295:O295)</f>
        <v>250000</v>
      </c>
    </row>
    <row r="298" spans="2:19" ht="15.75" customHeight="1" thickBot="1">
      <c r="B298" s="221"/>
      <c r="C298" s="192" t="s">
        <v>378</v>
      </c>
      <c r="D298" s="192"/>
      <c r="E298" s="192"/>
      <c r="F298" s="192"/>
      <c r="G298" s="22"/>
      <c r="H298" s="22"/>
      <c r="I298" s="220">
        <f>'P &amp; L'!F31</f>
        <v>1502224.7249970282</v>
      </c>
      <c r="J298" s="26"/>
      <c r="K298" s="220">
        <f>'P &amp; L'!H31</f>
        <v>2070057.2450792387</v>
      </c>
      <c r="L298" s="22"/>
      <c r="M298" s="22"/>
    </row>
    <row r="299" spans="2:19" ht="9" customHeight="1" thickTop="1">
      <c r="B299" s="221"/>
      <c r="C299" s="192"/>
      <c r="D299" s="192"/>
      <c r="E299" s="192"/>
      <c r="F299" s="192"/>
      <c r="G299" s="22"/>
      <c r="H299" s="22"/>
      <c r="I299" s="22"/>
      <c r="J299" s="26"/>
      <c r="K299" s="22"/>
      <c r="L299" s="22"/>
      <c r="M299" s="22"/>
    </row>
    <row r="300" spans="2:19" ht="15.75" customHeight="1" thickBot="1">
      <c r="B300" s="221"/>
      <c r="C300" s="192" t="s">
        <v>379</v>
      </c>
      <c r="D300" s="192"/>
      <c r="E300" s="192"/>
      <c r="F300" s="192"/>
      <c r="G300" s="22"/>
      <c r="H300" s="22"/>
      <c r="I300" s="230">
        <f>I298/I296</f>
        <v>1.5022247249970282</v>
      </c>
      <c r="J300" s="26"/>
      <c r="K300" s="230">
        <f>K298/K296</f>
        <v>2.0700572450792385</v>
      </c>
      <c r="L300" s="22"/>
      <c r="M300" s="22"/>
    </row>
    <row r="301" spans="2:19" ht="15.75" customHeight="1" thickTop="1">
      <c r="B301" s="221"/>
      <c r="C301" s="192"/>
      <c r="D301" s="192"/>
      <c r="E301" s="192"/>
      <c r="F301" s="192"/>
      <c r="G301" s="22"/>
      <c r="H301" s="22"/>
      <c r="I301" s="22"/>
      <c r="J301" s="26"/>
      <c r="K301" s="22"/>
      <c r="L301" s="22"/>
      <c r="M301" s="22"/>
    </row>
    <row r="302" spans="2:19" ht="15.75" customHeight="1">
      <c r="B302" s="187">
        <f>+B293+1</f>
        <v>19</v>
      </c>
      <c r="C302" s="188" t="s">
        <v>120</v>
      </c>
      <c r="D302" s="58"/>
      <c r="F302" s="59"/>
      <c r="G302" s="59"/>
      <c r="H302" s="59"/>
      <c r="I302" s="91">
        <v>2015</v>
      </c>
      <c r="J302" s="175"/>
      <c r="K302" s="91">
        <v>2014</v>
      </c>
      <c r="L302" s="59"/>
      <c r="M302" s="59"/>
      <c r="N302" s="59"/>
      <c r="O302" s="59"/>
      <c r="P302" s="59"/>
      <c r="Q302" s="59"/>
      <c r="R302" s="59"/>
      <c r="S302" s="59"/>
    </row>
    <row r="303" spans="2:19" ht="15.75" customHeight="1">
      <c r="B303" s="221"/>
      <c r="C303" s="192"/>
      <c r="D303" s="60"/>
      <c r="E303" s="59"/>
      <c r="F303" s="59"/>
      <c r="G303" s="59"/>
      <c r="H303" s="59"/>
      <c r="I303" s="480" t="s">
        <v>121</v>
      </c>
      <c r="J303" s="480"/>
      <c r="K303" s="480"/>
      <c r="L303" s="59"/>
      <c r="M303" s="59"/>
      <c r="N303" s="59"/>
      <c r="O303" s="59"/>
      <c r="P303" s="59"/>
      <c r="Q303" s="59"/>
      <c r="R303" s="59"/>
      <c r="S303" s="59"/>
    </row>
    <row r="304" spans="2:19" ht="9" customHeight="1">
      <c r="B304" s="221"/>
      <c r="C304" s="192"/>
      <c r="D304" s="59"/>
      <c r="E304" s="59"/>
      <c r="G304" s="59"/>
      <c r="H304" s="59"/>
      <c r="I304" s="59"/>
      <c r="J304" s="59"/>
      <c r="K304" s="59"/>
      <c r="L304" s="59"/>
      <c r="M304" s="59"/>
      <c r="N304" s="59"/>
      <c r="O304" s="59"/>
      <c r="P304" s="59"/>
      <c r="Q304" s="59"/>
      <c r="R304" s="59"/>
      <c r="S304" s="59"/>
    </row>
    <row r="305" spans="2:19" ht="15.75" customHeight="1" thickBot="1">
      <c r="B305" s="221"/>
      <c r="C305" s="192" t="s">
        <v>162</v>
      </c>
      <c r="E305" s="59"/>
      <c r="G305" s="59"/>
      <c r="H305" s="59"/>
      <c r="I305" s="63">
        <v>6</v>
      </c>
      <c r="J305" s="64"/>
      <c r="K305" s="63">
        <v>5</v>
      </c>
      <c r="L305" s="59"/>
      <c r="M305" s="59"/>
      <c r="N305" s="59"/>
      <c r="O305" s="59"/>
      <c r="P305" s="59"/>
      <c r="Q305" s="61">
        <v>327</v>
      </c>
      <c r="R305" s="62"/>
      <c r="S305" s="61">
        <v>282</v>
      </c>
    </row>
    <row r="306" spans="2:19" ht="15.75" customHeight="1" thickTop="1">
      <c r="B306" s="221"/>
      <c r="C306" s="192"/>
      <c r="D306" s="192"/>
      <c r="E306" s="192"/>
      <c r="F306" s="192"/>
      <c r="G306" s="22"/>
      <c r="H306" s="22"/>
      <c r="I306" s="22"/>
      <c r="J306" s="26"/>
      <c r="K306" s="22"/>
      <c r="L306" s="22"/>
      <c r="M306" s="22"/>
    </row>
    <row r="307" spans="2:19" ht="15.75" customHeight="1">
      <c r="B307" s="196">
        <f>+B302+1</f>
        <v>20</v>
      </c>
      <c r="C307" s="188" t="s">
        <v>95</v>
      </c>
      <c r="E307" s="192"/>
      <c r="F307" s="192"/>
      <c r="G307" s="192"/>
      <c r="J307" s="22"/>
      <c r="K307" s="22"/>
      <c r="L307" s="219"/>
      <c r="M307" s="22"/>
      <c r="N307" s="219"/>
    </row>
    <row r="308" spans="2:19" ht="9" customHeight="1">
      <c r="D308" s="192"/>
      <c r="E308" s="192"/>
      <c r="F308" s="192"/>
      <c r="G308" s="192"/>
      <c r="J308" s="22"/>
      <c r="K308" s="22"/>
      <c r="L308" s="219"/>
      <c r="M308" s="22"/>
      <c r="N308" s="219"/>
    </row>
    <row r="309" spans="2:19" ht="15.75" customHeight="1">
      <c r="B309" s="221"/>
      <c r="C309" s="476" t="s">
        <v>593</v>
      </c>
      <c r="D309" s="477"/>
      <c r="E309" s="477"/>
      <c r="F309" s="477"/>
      <c r="G309" s="477"/>
      <c r="H309" s="477"/>
      <c r="I309" s="477"/>
      <c r="J309" s="477"/>
      <c r="K309" s="477"/>
      <c r="L309" s="22"/>
      <c r="M309" s="22"/>
      <c r="N309" s="22"/>
    </row>
    <row r="310" spans="2:19" ht="15.75" customHeight="1">
      <c r="B310" s="221"/>
      <c r="C310" s="477"/>
      <c r="D310" s="477"/>
      <c r="E310" s="477"/>
      <c r="F310" s="477"/>
      <c r="G310" s="477"/>
      <c r="H310" s="477"/>
      <c r="I310" s="477"/>
      <c r="J310" s="477"/>
      <c r="K310" s="477"/>
      <c r="L310" s="22"/>
      <c r="M310" s="22"/>
      <c r="N310" s="22"/>
    </row>
    <row r="311" spans="2:19" ht="15.75" customHeight="1">
      <c r="B311" s="221"/>
      <c r="C311" s="231"/>
      <c r="D311" s="192"/>
      <c r="E311" s="192"/>
      <c r="F311" s="192"/>
      <c r="G311" s="22"/>
      <c r="H311" s="22"/>
      <c r="I311" s="22"/>
      <c r="J311" s="26"/>
      <c r="K311" s="22"/>
      <c r="L311" s="22"/>
      <c r="M311" s="22"/>
    </row>
    <row r="312" spans="2:19" ht="15.75" customHeight="1">
      <c r="B312" s="196">
        <f>+B307+1</f>
        <v>21</v>
      </c>
      <c r="C312" s="232" t="s">
        <v>96</v>
      </c>
      <c r="D312" s="232"/>
      <c r="E312" s="232"/>
      <c r="F312" s="232"/>
      <c r="G312" s="233"/>
      <c r="H312" s="26"/>
      <c r="I312" s="26"/>
      <c r="J312" s="26"/>
      <c r="K312" s="26"/>
      <c r="L312" s="22"/>
      <c r="M312" s="22"/>
    </row>
    <row r="313" spans="2:19" ht="9" customHeight="1">
      <c r="B313" s="221"/>
      <c r="C313" s="192"/>
      <c r="D313" s="226"/>
      <c r="E313" s="226"/>
      <c r="F313" s="226"/>
      <c r="G313" s="26"/>
      <c r="H313" s="26"/>
      <c r="I313" s="26"/>
      <c r="J313" s="26"/>
      <c r="K313" s="26"/>
      <c r="L313" s="22"/>
      <c r="M313" s="22"/>
    </row>
    <row r="314" spans="2:19" ht="15.75" customHeight="1">
      <c r="B314" s="221"/>
      <c r="C314" s="234" t="s">
        <v>47</v>
      </c>
      <c r="D314" s="475" t="s">
        <v>97</v>
      </c>
      <c r="E314" s="475"/>
      <c r="F314" s="475"/>
      <c r="G314" s="475"/>
      <c r="H314" s="235"/>
      <c r="I314" s="235"/>
      <c r="J314" s="235"/>
      <c r="K314" s="235"/>
      <c r="M314" s="22"/>
    </row>
    <row r="315" spans="2:19" ht="9" customHeight="1">
      <c r="B315" s="221"/>
      <c r="C315" s="192"/>
      <c r="D315" s="236"/>
      <c r="E315" s="236"/>
      <c r="F315" s="236"/>
      <c r="G315" s="236"/>
      <c r="H315" s="22"/>
      <c r="I315" s="22"/>
      <c r="J315" s="22"/>
      <c r="K315" s="22"/>
      <c r="L315" s="194"/>
      <c r="M315" s="22"/>
    </row>
    <row r="316" spans="2:19" ht="15.75" customHeight="1">
      <c r="B316" s="221"/>
      <c r="C316" s="234" t="s">
        <v>47</v>
      </c>
      <c r="D316" s="476" t="s">
        <v>201</v>
      </c>
      <c r="E316" s="476"/>
      <c r="F316" s="476"/>
      <c r="G316" s="476"/>
      <c r="H316" s="476"/>
      <c r="I316" s="476"/>
      <c r="J316" s="476"/>
      <c r="K316" s="476"/>
      <c r="L316" s="194"/>
      <c r="M316" s="22"/>
    </row>
    <row r="317" spans="2:19" ht="15.75" customHeight="1">
      <c r="B317" s="221"/>
      <c r="C317" s="192"/>
      <c r="D317" s="476"/>
      <c r="E317" s="476"/>
      <c r="F317" s="476"/>
      <c r="G317" s="476"/>
      <c r="H317" s="476"/>
      <c r="I317" s="476"/>
      <c r="J317" s="476"/>
      <c r="K317" s="476"/>
      <c r="L317" s="194"/>
      <c r="M317" s="22"/>
    </row>
    <row r="318" spans="2:19" ht="15.75" customHeight="1">
      <c r="B318" s="221"/>
      <c r="C318" s="192"/>
      <c r="D318" s="236"/>
      <c r="E318" s="236"/>
      <c r="F318" s="236"/>
      <c r="G318" s="236"/>
      <c r="H318" s="22"/>
      <c r="I318" s="22"/>
      <c r="J318" s="22"/>
      <c r="K318" s="22"/>
      <c r="L318" s="194"/>
      <c r="M318" s="22"/>
    </row>
    <row r="319" spans="2:19" ht="15.75" customHeight="1">
      <c r="B319" s="221"/>
      <c r="C319" s="192"/>
      <c r="D319" s="236"/>
      <c r="E319" s="236"/>
      <c r="F319" s="236"/>
      <c r="G319" s="236"/>
      <c r="H319" s="22"/>
      <c r="I319" s="22"/>
      <c r="J319" s="22"/>
      <c r="K319" s="22"/>
      <c r="L319" s="194"/>
      <c r="M319" s="22"/>
    </row>
    <row r="320" spans="2:19" ht="15.75" customHeight="1">
      <c r="B320" s="221"/>
      <c r="C320" s="192"/>
      <c r="D320" s="236"/>
      <c r="E320" s="236"/>
      <c r="F320" s="236"/>
      <c r="G320" s="236"/>
      <c r="H320" s="22"/>
      <c r="I320" s="22"/>
      <c r="J320" s="22"/>
      <c r="K320" s="22"/>
      <c r="L320" s="194"/>
      <c r="M320" s="22"/>
    </row>
    <row r="321" spans="2:15" ht="15.75" customHeight="1">
      <c r="B321" s="221"/>
      <c r="C321" s="192"/>
      <c r="D321" s="236"/>
      <c r="E321" s="236"/>
      <c r="F321" s="236"/>
      <c r="G321" s="236"/>
      <c r="H321" s="22"/>
      <c r="I321" s="22"/>
      <c r="J321" s="22"/>
      <c r="K321" s="22"/>
      <c r="L321" s="194"/>
      <c r="M321" s="22"/>
    </row>
    <row r="322" spans="2:15" ht="15.75" customHeight="1">
      <c r="B322" s="221"/>
      <c r="C322" s="192"/>
      <c r="D322" s="236"/>
      <c r="E322" s="236"/>
      <c r="F322" s="236"/>
      <c r="G322" s="236"/>
      <c r="H322" s="22"/>
      <c r="I322" s="22"/>
      <c r="J322" s="22"/>
      <c r="K322" s="22"/>
      <c r="L322" s="194"/>
      <c r="M322" s="22"/>
    </row>
    <row r="323" spans="2:15" ht="15.75" customHeight="1">
      <c r="B323" s="221"/>
      <c r="C323" s="192"/>
      <c r="D323" s="236"/>
      <c r="E323" s="236"/>
      <c r="F323" s="236"/>
      <c r="G323" s="236"/>
      <c r="H323" s="22"/>
      <c r="I323" s="22"/>
      <c r="J323" s="22"/>
      <c r="K323" s="22"/>
      <c r="L323" s="194"/>
      <c r="M323" s="22"/>
    </row>
    <row r="324" spans="2:15" ht="15.75" customHeight="1">
      <c r="B324" s="221"/>
      <c r="C324" s="192"/>
      <c r="D324" s="192"/>
      <c r="E324" s="192"/>
      <c r="F324" s="192"/>
      <c r="G324" s="22"/>
      <c r="H324" s="22"/>
      <c r="I324" s="22"/>
      <c r="J324" s="22"/>
      <c r="K324" s="22"/>
      <c r="L324" s="22"/>
      <c r="M324" s="22"/>
    </row>
    <row r="325" spans="2:15" ht="15.75" customHeight="1">
      <c r="B325" s="221"/>
      <c r="C325" s="190" t="s">
        <v>6</v>
      </c>
      <c r="D325" s="192"/>
      <c r="E325" s="192"/>
      <c r="F325" s="192"/>
      <c r="G325" s="22"/>
      <c r="H325" s="22"/>
      <c r="I325" s="22"/>
      <c r="J325" s="22"/>
      <c r="K325" s="237" t="s">
        <v>7</v>
      </c>
      <c r="L325" s="22"/>
      <c r="M325" s="22"/>
      <c r="O325" s="238"/>
    </row>
    <row r="326" spans="2:15" ht="15.75" customHeight="1">
      <c r="B326" s="221"/>
      <c r="C326" s="192"/>
      <c r="D326" s="192"/>
      <c r="E326" s="192"/>
      <c r="F326" s="192"/>
      <c r="G326" s="22"/>
      <c r="H326" s="22"/>
      <c r="I326" s="22"/>
      <c r="J326" s="22"/>
      <c r="K326" s="22"/>
      <c r="L326" s="22"/>
      <c r="M326" s="22"/>
    </row>
    <row r="327" spans="2:15" ht="15.75" customHeight="1">
      <c r="B327" s="221"/>
      <c r="C327" s="192"/>
      <c r="D327" s="192"/>
      <c r="E327" s="192"/>
      <c r="F327" s="192"/>
      <c r="G327" s="22"/>
      <c r="H327" s="22"/>
      <c r="I327" s="22"/>
      <c r="J327" s="22"/>
      <c r="K327" s="22"/>
      <c r="L327" s="22"/>
      <c r="M327" s="22"/>
    </row>
    <row r="328" spans="2:15" ht="15.75" customHeight="1">
      <c r="B328" s="221"/>
      <c r="C328" s="192"/>
      <c r="D328" s="190"/>
      <c r="E328" s="190"/>
      <c r="F328" s="190"/>
      <c r="G328" s="190"/>
      <c r="H328" s="190"/>
      <c r="I328" s="190"/>
      <c r="J328" s="190"/>
      <c r="L328" s="239"/>
      <c r="M328" s="239"/>
    </row>
    <row r="329" spans="2:15" ht="15.75" customHeight="1">
      <c r="B329" s="221"/>
      <c r="C329" s="192"/>
      <c r="D329" s="192"/>
      <c r="E329" s="192"/>
      <c r="F329" s="192"/>
      <c r="G329" s="22"/>
      <c r="H329" s="22"/>
      <c r="I329" s="22"/>
      <c r="J329" s="22"/>
      <c r="K329" s="22"/>
      <c r="L329" s="22"/>
      <c r="M329" s="22"/>
    </row>
    <row r="330" spans="2:15" ht="15.75" customHeight="1">
      <c r="B330" s="221"/>
      <c r="C330" s="192"/>
      <c r="D330" s="192"/>
      <c r="E330" s="192"/>
      <c r="F330" s="192"/>
      <c r="G330" s="22"/>
      <c r="H330" s="22"/>
      <c r="I330" s="22"/>
      <c r="J330" s="22"/>
      <c r="K330" s="22"/>
      <c r="L330" s="22"/>
      <c r="M330" s="22"/>
    </row>
    <row r="331" spans="2:15" ht="15.75" customHeight="1">
      <c r="B331" s="221"/>
      <c r="C331" s="192"/>
      <c r="D331" s="192"/>
      <c r="E331" s="192"/>
      <c r="F331" s="192"/>
      <c r="G331" s="22"/>
      <c r="H331" s="22"/>
      <c r="I331" s="22"/>
      <c r="J331" s="22"/>
      <c r="K331" s="22"/>
      <c r="L331" s="22"/>
      <c r="M331" s="22"/>
    </row>
    <row r="332" spans="2:15" ht="15.75" customHeight="1">
      <c r="B332" s="221"/>
      <c r="C332" s="192"/>
      <c r="D332" s="192"/>
      <c r="E332" s="192"/>
      <c r="F332" s="192"/>
      <c r="G332" s="22"/>
      <c r="H332" s="22"/>
      <c r="I332" s="22"/>
      <c r="J332" s="22"/>
      <c r="K332" s="22"/>
      <c r="L332" s="22"/>
      <c r="M332" s="22"/>
    </row>
    <row r="333" spans="2:15" ht="15.75" customHeight="1">
      <c r="B333" s="221"/>
      <c r="C333" s="192"/>
      <c r="D333" s="192"/>
      <c r="E333" s="192"/>
      <c r="F333" s="192"/>
      <c r="G333" s="22"/>
      <c r="H333" s="22"/>
      <c r="I333" s="22"/>
      <c r="J333" s="22"/>
      <c r="K333" s="22"/>
      <c r="L333" s="22"/>
      <c r="M333" s="22"/>
    </row>
    <row r="334" spans="2:15" ht="15.75" customHeight="1">
      <c r="B334" s="221"/>
      <c r="C334" s="192"/>
      <c r="D334" s="192"/>
      <c r="E334" s="192"/>
      <c r="F334" s="192"/>
      <c r="G334" s="22"/>
      <c r="H334" s="22"/>
      <c r="I334" s="22"/>
      <c r="J334" s="22"/>
      <c r="K334" s="22"/>
      <c r="L334" s="22"/>
      <c r="M334" s="22"/>
    </row>
    <row r="335" spans="2:15" ht="15.75" customHeight="1">
      <c r="B335" s="221"/>
      <c r="C335" s="192"/>
      <c r="D335" s="192"/>
      <c r="E335" s="192"/>
      <c r="F335" s="192"/>
      <c r="G335" s="22"/>
      <c r="H335" s="22"/>
      <c r="I335" s="22"/>
      <c r="J335" s="22"/>
      <c r="K335" s="22"/>
      <c r="L335" s="22"/>
      <c r="M335" s="22"/>
    </row>
    <row r="336" spans="2:15" ht="15.75" customHeight="1">
      <c r="B336" s="221"/>
      <c r="C336" s="192"/>
      <c r="D336" s="192"/>
      <c r="E336" s="192"/>
      <c r="F336" s="192"/>
      <c r="G336" s="22"/>
      <c r="H336" s="22"/>
      <c r="I336" s="22"/>
      <c r="J336" s="22"/>
      <c r="K336" s="22"/>
      <c r="L336" s="22"/>
      <c r="M336" s="22"/>
    </row>
    <row r="337" spans="2:13" ht="15.75" customHeight="1">
      <c r="B337" s="221"/>
      <c r="C337" s="192"/>
      <c r="D337" s="192"/>
      <c r="E337" s="192"/>
      <c r="F337" s="192"/>
      <c r="G337" s="22"/>
      <c r="H337" s="22"/>
      <c r="I337" s="22"/>
      <c r="J337" s="22"/>
      <c r="K337" s="22"/>
      <c r="L337" s="22"/>
      <c r="M337" s="22"/>
    </row>
    <row r="338" spans="2:13" ht="15.75" customHeight="1">
      <c r="B338" s="221"/>
      <c r="C338" s="192"/>
      <c r="D338" s="192"/>
      <c r="E338" s="192"/>
      <c r="F338" s="192"/>
      <c r="G338" s="22"/>
      <c r="H338" s="22"/>
      <c r="I338" s="22"/>
      <c r="J338" s="22"/>
      <c r="K338" s="22"/>
      <c r="L338" s="22"/>
      <c r="M338" s="22"/>
    </row>
    <row r="339" spans="2:13" ht="15.75" customHeight="1">
      <c r="B339" s="221"/>
      <c r="C339" s="192"/>
      <c r="D339" s="192"/>
      <c r="E339" s="192"/>
      <c r="F339" s="192"/>
      <c r="G339" s="22"/>
      <c r="H339" s="22"/>
      <c r="I339" s="22"/>
      <c r="J339" s="22"/>
      <c r="K339" s="22"/>
      <c r="L339" s="22"/>
      <c r="M339" s="22"/>
    </row>
    <row r="340" spans="2:13" ht="15.75" customHeight="1">
      <c r="B340" s="221"/>
      <c r="C340" s="192"/>
      <c r="D340" s="192"/>
      <c r="E340" s="192"/>
      <c r="F340" s="192"/>
      <c r="G340" s="22"/>
      <c r="H340" s="22"/>
      <c r="I340" s="22"/>
      <c r="J340" s="22"/>
      <c r="K340" s="22"/>
      <c r="L340" s="22"/>
      <c r="M340" s="22"/>
    </row>
    <row r="341" spans="2:13" ht="15.75" customHeight="1">
      <c r="B341" s="221"/>
      <c r="C341" s="192"/>
      <c r="D341" s="192"/>
      <c r="E341" s="192"/>
      <c r="F341" s="192"/>
      <c r="G341" s="22"/>
      <c r="H341" s="22"/>
      <c r="I341" s="22"/>
      <c r="J341" s="22"/>
      <c r="K341" s="22"/>
      <c r="L341" s="22"/>
      <c r="M341" s="22"/>
    </row>
    <row r="342" spans="2:13" ht="15.75" customHeight="1">
      <c r="B342" s="221"/>
      <c r="C342" s="192"/>
      <c r="D342" s="192"/>
      <c r="E342" s="192"/>
      <c r="F342" s="192"/>
      <c r="G342" s="22"/>
      <c r="H342" s="22"/>
      <c r="I342" s="22"/>
      <c r="J342" s="22"/>
      <c r="K342" s="22"/>
      <c r="L342" s="22"/>
      <c r="M342" s="22"/>
    </row>
    <row r="343" spans="2:13" ht="15.75" customHeight="1">
      <c r="B343" s="221"/>
      <c r="C343" s="192"/>
      <c r="D343" s="192"/>
      <c r="E343" s="192"/>
      <c r="F343" s="192"/>
      <c r="G343" s="22"/>
      <c r="H343" s="22"/>
      <c r="I343" s="22"/>
      <c r="J343" s="22"/>
      <c r="K343" s="22"/>
      <c r="L343" s="22"/>
      <c r="M343" s="22"/>
    </row>
    <row r="344" spans="2:13" ht="15.75" customHeight="1">
      <c r="B344" s="221"/>
      <c r="C344" s="192"/>
      <c r="D344" s="192"/>
      <c r="E344" s="192"/>
      <c r="F344" s="192"/>
      <c r="G344" s="22"/>
      <c r="H344" s="22"/>
      <c r="I344" s="22"/>
      <c r="J344" s="22"/>
      <c r="K344" s="22"/>
      <c r="L344" s="22"/>
      <c r="M344" s="22"/>
    </row>
    <row r="345" spans="2:13" ht="15.75" customHeight="1">
      <c r="B345" s="221"/>
      <c r="C345" s="192"/>
      <c r="D345" s="192"/>
      <c r="E345" s="192"/>
      <c r="F345" s="192"/>
      <c r="G345" s="22"/>
      <c r="H345" s="22"/>
      <c r="I345" s="22"/>
      <c r="J345" s="22"/>
      <c r="K345" s="22"/>
      <c r="L345" s="22"/>
      <c r="M345" s="22"/>
    </row>
    <row r="346" spans="2:13" ht="15.75" customHeight="1">
      <c r="B346" s="221"/>
      <c r="C346" s="192"/>
      <c r="D346" s="192"/>
      <c r="E346" s="192"/>
      <c r="F346" s="192"/>
      <c r="G346" s="22"/>
      <c r="H346" s="22"/>
      <c r="I346" s="22"/>
      <c r="J346" s="22"/>
      <c r="K346" s="22"/>
      <c r="L346" s="22"/>
      <c r="M346" s="22"/>
    </row>
    <row r="347" spans="2:13" ht="15.75" customHeight="1">
      <c r="B347" s="221"/>
      <c r="C347" s="192"/>
      <c r="D347" s="192"/>
      <c r="E347" s="192"/>
      <c r="F347" s="192"/>
      <c r="G347" s="22"/>
      <c r="H347" s="22"/>
      <c r="I347" s="22"/>
      <c r="J347" s="22"/>
      <c r="K347" s="22"/>
      <c r="L347" s="22"/>
      <c r="M347" s="22"/>
    </row>
    <row r="348" spans="2:13" ht="15.75" customHeight="1">
      <c r="B348" s="221"/>
      <c r="C348" s="192"/>
      <c r="D348" s="192"/>
      <c r="E348" s="192"/>
      <c r="F348" s="192"/>
      <c r="G348" s="22"/>
      <c r="H348" s="22"/>
      <c r="I348" s="22"/>
      <c r="J348" s="22"/>
      <c r="K348" s="22"/>
      <c r="L348" s="22"/>
      <c r="M348" s="22"/>
    </row>
    <row r="349" spans="2:13" ht="15.75" customHeight="1">
      <c r="B349" s="221"/>
      <c r="C349" s="192"/>
      <c r="D349" s="192"/>
      <c r="E349" s="192"/>
      <c r="F349" s="192"/>
      <c r="G349" s="22"/>
      <c r="H349" s="22"/>
      <c r="I349" s="22"/>
      <c r="J349" s="22"/>
      <c r="K349" s="22"/>
      <c r="L349" s="22"/>
      <c r="M349" s="22"/>
    </row>
    <row r="350" spans="2:13" ht="15.75" customHeight="1">
      <c r="B350" s="221"/>
      <c r="C350" s="192"/>
      <c r="D350" s="192"/>
      <c r="E350" s="192"/>
      <c r="F350" s="192"/>
      <c r="G350" s="22"/>
      <c r="H350" s="22"/>
      <c r="I350" s="22"/>
      <c r="J350" s="22"/>
      <c r="K350" s="22"/>
      <c r="L350" s="22"/>
      <c r="M350" s="22"/>
    </row>
    <row r="351" spans="2:13" ht="15.75" customHeight="1">
      <c r="B351" s="221"/>
      <c r="C351" s="192"/>
      <c r="D351" s="192"/>
      <c r="E351" s="192"/>
      <c r="F351" s="192"/>
      <c r="G351" s="22"/>
      <c r="H351" s="22"/>
      <c r="I351" s="22"/>
      <c r="J351" s="22"/>
      <c r="K351" s="22"/>
      <c r="L351" s="22"/>
      <c r="M351" s="22"/>
    </row>
    <row r="352" spans="2:13" ht="15.75" customHeight="1">
      <c r="B352" s="221"/>
      <c r="C352" s="192"/>
      <c r="D352" s="192"/>
      <c r="E352" s="192"/>
      <c r="F352" s="192"/>
      <c r="G352" s="22"/>
      <c r="H352" s="22"/>
      <c r="I352" s="22"/>
      <c r="J352" s="22"/>
      <c r="K352" s="22"/>
      <c r="L352" s="22"/>
      <c r="M352" s="22"/>
    </row>
    <row r="353" spans="2:13" ht="15.75" customHeight="1">
      <c r="B353" s="221"/>
      <c r="C353" s="192"/>
      <c r="D353" s="192"/>
      <c r="E353" s="192"/>
      <c r="F353" s="192"/>
      <c r="G353" s="22"/>
      <c r="H353" s="22"/>
      <c r="I353" s="22"/>
      <c r="J353" s="22"/>
      <c r="K353" s="22"/>
      <c r="L353" s="22"/>
      <c r="M353" s="22"/>
    </row>
    <row r="354" spans="2:13" ht="15.75" customHeight="1">
      <c r="B354" s="221"/>
      <c r="C354" s="192"/>
      <c r="D354" s="192"/>
      <c r="E354" s="192"/>
      <c r="F354" s="192"/>
      <c r="G354" s="22"/>
      <c r="H354" s="22"/>
      <c r="I354" s="22"/>
      <c r="J354" s="22"/>
      <c r="K354" s="22"/>
      <c r="L354" s="22"/>
      <c r="M354" s="22"/>
    </row>
    <row r="355" spans="2:13" ht="15.75" customHeight="1">
      <c r="B355" s="221"/>
      <c r="C355" s="192"/>
      <c r="D355" s="192"/>
      <c r="E355" s="192"/>
      <c r="F355" s="192"/>
      <c r="G355" s="22"/>
      <c r="H355" s="22"/>
      <c r="I355" s="22"/>
      <c r="J355" s="22"/>
      <c r="K355" s="22"/>
      <c r="L355" s="22"/>
      <c r="M355" s="22"/>
    </row>
    <row r="356" spans="2:13" ht="15.75" customHeight="1">
      <c r="B356" s="221"/>
      <c r="C356" s="192"/>
      <c r="D356" s="192"/>
      <c r="E356" s="192"/>
      <c r="F356" s="192"/>
      <c r="G356" s="22"/>
      <c r="H356" s="22"/>
      <c r="I356" s="22"/>
      <c r="J356" s="22"/>
      <c r="K356" s="22"/>
      <c r="L356" s="22"/>
      <c r="M356" s="22"/>
    </row>
    <row r="357" spans="2:13" ht="15.75" customHeight="1">
      <c r="B357" s="221"/>
      <c r="C357" s="192"/>
      <c r="D357" s="192"/>
      <c r="E357" s="192"/>
      <c r="F357" s="192"/>
      <c r="G357" s="22"/>
      <c r="H357" s="22"/>
      <c r="I357" s="22"/>
      <c r="J357" s="22"/>
      <c r="K357" s="22"/>
      <c r="L357" s="22"/>
      <c r="M357" s="22"/>
    </row>
    <row r="358" spans="2:13" ht="15.75" customHeight="1">
      <c r="B358" s="221"/>
      <c r="C358" s="192"/>
      <c r="D358" s="192"/>
      <c r="E358" s="192"/>
      <c r="F358" s="192"/>
      <c r="G358" s="22"/>
      <c r="H358" s="22"/>
      <c r="I358" s="22"/>
      <c r="J358" s="22"/>
      <c r="K358" s="22"/>
      <c r="L358" s="22"/>
      <c r="M358" s="22"/>
    </row>
    <row r="359" spans="2:13" ht="15.75" customHeight="1">
      <c r="B359" s="221"/>
      <c r="C359" s="192"/>
      <c r="D359" s="192"/>
      <c r="E359" s="192"/>
      <c r="F359" s="192"/>
      <c r="G359" s="22"/>
      <c r="H359" s="22"/>
      <c r="I359" s="22"/>
      <c r="J359" s="22"/>
      <c r="K359" s="22"/>
      <c r="L359" s="22"/>
      <c r="M359" s="22"/>
    </row>
    <row r="360" spans="2:13" ht="15.75" customHeight="1">
      <c r="B360" s="221"/>
      <c r="C360" s="192"/>
      <c r="D360" s="192"/>
      <c r="E360" s="192"/>
      <c r="F360" s="192"/>
      <c r="G360" s="22"/>
      <c r="H360" s="22"/>
      <c r="I360" s="22"/>
      <c r="J360" s="22"/>
      <c r="K360" s="22"/>
      <c r="L360" s="22"/>
      <c r="M360" s="22"/>
    </row>
    <row r="361" spans="2:13" ht="15.75" customHeight="1">
      <c r="B361" s="221"/>
      <c r="C361" s="192"/>
      <c r="D361" s="192"/>
      <c r="E361" s="192"/>
      <c r="F361" s="192"/>
      <c r="G361" s="22"/>
      <c r="H361" s="22"/>
      <c r="I361" s="22"/>
      <c r="J361" s="22"/>
      <c r="K361" s="22"/>
      <c r="L361" s="22"/>
      <c r="M361" s="22"/>
    </row>
    <row r="362" spans="2:13" ht="15.75" customHeight="1">
      <c r="B362" s="221"/>
      <c r="C362" s="192"/>
      <c r="D362" s="192"/>
      <c r="E362" s="192"/>
      <c r="F362" s="192"/>
      <c r="G362" s="22"/>
      <c r="H362" s="22"/>
      <c r="I362" s="22"/>
      <c r="J362" s="22"/>
      <c r="K362" s="22"/>
      <c r="L362" s="22"/>
      <c r="M362" s="22"/>
    </row>
    <row r="363" spans="2:13" ht="15.75" customHeight="1">
      <c r="B363" s="221"/>
      <c r="C363" s="192"/>
      <c r="D363" s="192"/>
      <c r="E363" s="192"/>
      <c r="F363" s="192"/>
      <c r="G363" s="22"/>
      <c r="H363" s="22"/>
      <c r="I363" s="22"/>
      <c r="J363" s="22"/>
      <c r="K363" s="22"/>
      <c r="L363" s="22"/>
      <c r="M363" s="22"/>
    </row>
    <row r="364" spans="2:13" ht="15.75" customHeight="1">
      <c r="B364" s="221"/>
      <c r="C364" s="192"/>
      <c r="D364" s="192"/>
      <c r="E364" s="192"/>
      <c r="F364" s="192"/>
      <c r="G364" s="22"/>
      <c r="H364" s="22"/>
      <c r="I364" s="22"/>
      <c r="J364" s="22"/>
      <c r="K364" s="22"/>
      <c r="L364" s="22"/>
      <c r="M364" s="22"/>
    </row>
    <row r="365" spans="2:13" ht="15.75" customHeight="1">
      <c r="B365" s="221"/>
      <c r="C365" s="192"/>
      <c r="D365" s="192"/>
      <c r="E365" s="192"/>
      <c r="F365" s="192"/>
      <c r="G365" s="22"/>
      <c r="H365" s="22"/>
      <c r="I365" s="22"/>
      <c r="J365" s="22"/>
      <c r="K365" s="22"/>
      <c r="L365" s="22"/>
      <c r="M365" s="22"/>
    </row>
    <row r="366" spans="2:13" ht="15.75" customHeight="1">
      <c r="B366" s="22"/>
      <c r="C366" s="192"/>
      <c r="D366" s="192"/>
      <c r="E366" s="192"/>
      <c r="F366" s="192"/>
      <c r="G366" s="22"/>
      <c r="H366" s="22"/>
      <c r="I366" s="22"/>
      <c r="J366" s="22"/>
      <c r="K366" s="22"/>
      <c r="L366" s="22"/>
      <c r="M366" s="22"/>
    </row>
    <row r="367" spans="2:13" ht="15.75" customHeight="1">
      <c r="B367" s="22"/>
      <c r="C367" s="192"/>
      <c r="D367" s="192"/>
      <c r="E367" s="192"/>
      <c r="F367" s="192"/>
      <c r="G367" s="22"/>
      <c r="H367" s="22"/>
      <c r="I367" s="22"/>
      <c r="J367" s="22"/>
      <c r="K367" s="22"/>
      <c r="L367" s="22"/>
      <c r="M367" s="22"/>
    </row>
    <row r="368" spans="2:13" ht="15.75" customHeight="1">
      <c r="B368" s="22"/>
      <c r="C368" s="192"/>
      <c r="D368" s="192"/>
      <c r="E368" s="192"/>
      <c r="F368" s="192"/>
      <c r="G368" s="22"/>
      <c r="H368" s="22"/>
      <c r="I368" s="22"/>
      <c r="J368" s="22"/>
      <c r="K368" s="22"/>
      <c r="L368" s="22"/>
      <c r="M368" s="22"/>
    </row>
    <row r="369" spans="2:13" ht="15.75" customHeight="1">
      <c r="B369" s="22"/>
      <c r="C369" s="192"/>
      <c r="D369" s="192"/>
      <c r="E369" s="192"/>
      <c r="F369" s="192"/>
      <c r="G369" s="22"/>
      <c r="H369" s="22"/>
      <c r="I369" s="22"/>
      <c r="J369" s="22"/>
      <c r="K369" s="22"/>
      <c r="L369" s="22"/>
      <c r="M369" s="22"/>
    </row>
    <row r="370" spans="2:13" ht="15.75" customHeight="1">
      <c r="B370" s="22"/>
      <c r="C370" s="192"/>
      <c r="D370" s="192"/>
      <c r="E370" s="192"/>
      <c r="F370" s="192"/>
      <c r="G370" s="22"/>
      <c r="H370" s="22"/>
      <c r="I370" s="22"/>
      <c r="J370" s="22"/>
      <c r="K370" s="22"/>
      <c r="L370" s="22"/>
      <c r="M370" s="22"/>
    </row>
    <row r="371" spans="2:13" ht="15.75" customHeight="1">
      <c r="B371" s="22"/>
      <c r="C371" s="192"/>
      <c r="D371" s="192"/>
      <c r="E371" s="192"/>
      <c r="F371" s="192"/>
      <c r="G371" s="22"/>
      <c r="H371" s="22"/>
      <c r="I371" s="22"/>
      <c r="J371" s="22"/>
      <c r="K371" s="22"/>
      <c r="L371" s="22"/>
      <c r="M371" s="22"/>
    </row>
    <row r="372" spans="2:13" ht="15.75" customHeight="1">
      <c r="B372" s="22"/>
      <c r="C372" s="192"/>
      <c r="D372" s="192"/>
      <c r="E372" s="192"/>
      <c r="F372" s="192"/>
      <c r="G372" s="22"/>
      <c r="H372" s="22"/>
      <c r="I372" s="22"/>
      <c r="J372" s="22"/>
      <c r="K372" s="22"/>
      <c r="L372" s="22"/>
      <c r="M372" s="22"/>
    </row>
    <row r="373" spans="2:13" ht="15.75" customHeight="1">
      <c r="B373" s="22"/>
      <c r="C373" s="192"/>
      <c r="D373" s="192"/>
      <c r="E373" s="192"/>
      <c r="F373" s="192"/>
      <c r="G373" s="22"/>
      <c r="H373" s="22"/>
      <c r="I373" s="22"/>
      <c r="J373" s="22"/>
      <c r="K373" s="22"/>
      <c r="L373" s="22"/>
      <c r="M373" s="22"/>
    </row>
    <row r="374" spans="2:13" ht="15.75" customHeight="1">
      <c r="B374" s="22"/>
      <c r="C374" s="192"/>
      <c r="D374" s="192"/>
      <c r="E374" s="192"/>
      <c r="F374" s="192"/>
      <c r="G374" s="22"/>
      <c r="H374" s="22"/>
      <c r="I374" s="22"/>
      <c r="J374" s="22"/>
      <c r="K374" s="22"/>
      <c r="L374" s="22"/>
      <c r="M374" s="22"/>
    </row>
    <row r="375" spans="2:13" ht="15.75" customHeight="1">
      <c r="B375" s="22"/>
      <c r="C375" s="192"/>
      <c r="D375" s="192"/>
      <c r="E375" s="192"/>
      <c r="F375" s="192"/>
      <c r="G375" s="22"/>
      <c r="H375" s="22"/>
      <c r="I375" s="22"/>
      <c r="J375" s="22"/>
      <c r="K375" s="22"/>
      <c r="L375" s="22"/>
      <c r="M375" s="22"/>
    </row>
    <row r="376" spans="2:13" ht="15.75" customHeight="1">
      <c r="B376" s="22"/>
      <c r="C376" s="192"/>
      <c r="D376" s="192"/>
      <c r="E376" s="192"/>
      <c r="F376" s="192"/>
      <c r="G376" s="22"/>
      <c r="H376" s="22"/>
      <c r="I376" s="22"/>
      <c r="J376" s="22"/>
      <c r="K376" s="22"/>
      <c r="L376" s="22"/>
      <c r="M376" s="22"/>
    </row>
    <row r="377" spans="2:13" ht="15.75" customHeight="1">
      <c r="B377" s="22"/>
      <c r="C377" s="192"/>
      <c r="D377" s="192"/>
      <c r="E377" s="192"/>
      <c r="F377" s="192"/>
      <c r="G377" s="22"/>
      <c r="H377" s="22"/>
      <c r="I377" s="22"/>
      <c r="J377" s="22"/>
      <c r="K377" s="22"/>
      <c r="L377" s="22"/>
      <c r="M377" s="22"/>
    </row>
    <row r="378" spans="2:13" ht="15.75" customHeight="1">
      <c r="B378" s="22"/>
      <c r="C378" s="192"/>
      <c r="D378" s="192"/>
      <c r="E378" s="192"/>
      <c r="F378" s="192"/>
      <c r="G378" s="22"/>
      <c r="H378" s="22"/>
      <c r="I378" s="22"/>
      <c r="J378" s="22"/>
      <c r="K378" s="22"/>
      <c r="L378" s="22"/>
      <c r="M378" s="22"/>
    </row>
    <row r="379" spans="2:13" ht="15.75" customHeight="1">
      <c r="B379" s="22"/>
      <c r="C379" s="192"/>
      <c r="D379" s="192"/>
      <c r="E379" s="192"/>
      <c r="F379" s="192"/>
      <c r="G379" s="22"/>
      <c r="H379" s="22"/>
      <c r="I379" s="22"/>
      <c r="J379" s="22"/>
      <c r="K379" s="22"/>
      <c r="L379" s="22"/>
      <c r="M379" s="22"/>
    </row>
    <row r="380" spans="2:13" ht="15.75" customHeight="1">
      <c r="B380" s="22"/>
      <c r="C380" s="192"/>
      <c r="D380" s="192"/>
      <c r="E380" s="192"/>
      <c r="F380" s="192"/>
      <c r="G380" s="22"/>
      <c r="H380" s="22"/>
      <c r="I380" s="22"/>
      <c r="J380" s="22"/>
      <c r="K380" s="22"/>
      <c r="L380" s="22"/>
      <c r="M380" s="22"/>
    </row>
    <row r="381" spans="2:13" ht="15.75" customHeight="1">
      <c r="B381" s="22"/>
      <c r="C381" s="192"/>
      <c r="D381" s="192"/>
      <c r="E381" s="192"/>
      <c r="F381" s="192"/>
      <c r="G381" s="22"/>
      <c r="H381" s="22"/>
      <c r="I381" s="22"/>
      <c r="J381" s="22"/>
      <c r="K381" s="22"/>
      <c r="L381" s="22"/>
      <c r="M381" s="22"/>
    </row>
    <row r="382" spans="2:13" ht="15.75" customHeight="1">
      <c r="B382" s="22"/>
      <c r="C382" s="192"/>
      <c r="D382" s="192"/>
      <c r="E382" s="192"/>
      <c r="F382" s="192"/>
      <c r="G382" s="22"/>
      <c r="H382" s="22"/>
      <c r="I382" s="22"/>
      <c r="J382" s="22"/>
      <c r="K382" s="22"/>
      <c r="L382" s="22"/>
      <c r="M382" s="22"/>
    </row>
    <row r="383" spans="2:13" ht="15.75" customHeight="1">
      <c r="B383" s="22"/>
      <c r="C383" s="192"/>
      <c r="D383" s="192"/>
      <c r="E383" s="192"/>
      <c r="F383" s="192"/>
      <c r="G383" s="22"/>
      <c r="H383" s="22"/>
      <c r="I383" s="22"/>
      <c r="J383" s="22"/>
      <c r="K383" s="22"/>
      <c r="L383" s="22"/>
      <c r="M383" s="22"/>
    </row>
    <row r="384" spans="2:13" ht="15.75" customHeight="1">
      <c r="B384" s="22"/>
      <c r="C384" s="192"/>
      <c r="D384" s="192"/>
      <c r="E384" s="192"/>
      <c r="F384" s="192"/>
      <c r="G384" s="22"/>
      <c r="H384" s="22"/>
      <c r="I384" s="22"/>
      <c r="J384" s="22"/>
      <c r="K384" s="22"/>
      <c r="L384" s="22"/>
      <c r="M384" s="22"/>
    </row>
    <row r="385" spans="2:13" ht="15.75" customHeight="1">
      <c r="B385" s="22"/>
      <c r="C385" s="192"/>
      <c r="D385" s="192"/>
      <c r="E385" s="192"/>
      <c r="F385" s="192"/>
      <c r="G385" s="22"/>
      <c r="H385" s="22"/>
      <c r="I385" s="22"/>
      <c r="J385" s="22"/>
      <c r="K385" s="22"/>
      <c r="L385" s="22"/>
      <c r="M385" s="22"/>
    </row>
    <row r="386" spans="2:13" ht="15.75" customHeight="1">
      <c r="B386" s="22"/>
      <c r="C386" s="192"/>
      <c r="D386" s="192"/>
      <c r="E386" s="192"/>
      <c r="F386" s="192"/>
      <c r="G386" s="22"/>
      <c r="H386" s="22"/>
      <c r="I386" s="22"/>
      <c r="J386" s="22"/>
      <c r="K386" s="22"/>
      <c r="L386" s="22"/>
      <c r="M386" s="22"/>
    </row>
    <row r="387" spans="2:13" ht="15.75" customHeight="1">
      <c r="B387" s="22"/>
      <c r="C387" s="192"/>
      <c r="D387" s="192"/>
      <c r="E387" s="192"/>
      <c r="F387" s="192"/>
      <c r="G387" s="22"/>
      <c r="H387" s="22"/>
      <c r="I387" s="22"/>
      <c r="J387" s="22"/>
      <c r="K387" s="22"/>
      <c r="L387" s="22"/>
      <c r="M387" s="22"/>
    </row>
    <row r="388" spans="2:13" ht="15.75" customHeight="1">
      <c r="B388" s="22"/>
      <c r="C388" s="192"/>
      <c r="D388" s="192"/>
      <c r="E388" s="192"/>
      <c r="F388" s="192"/>
      <c r="G388" s="22"/>
      <c r="H388" s="22"/>
      <c r="I388" s="22"/>
      <c r="J388" s="22"/>
      <c r="K388" s="22"/>
      <c r="L388" s="22"/>
      <c r="M388" s="22"/>
    </row>
    <row r="389" spans="2:13" ht="15.75" customHeight="1">
      <c r="B389" s="22"/>
      <c r="C389" s="192"/>
      <c r="D389" s="192"/>
      <c r="E389" s="192"/>
      <c r="F389" s="192"/>
      <c r="G389" s="22"/>
      <c r="H389" s="22"/>
      <c r="I389" s="22"/>
      <c r="J389" s="22"/>
      <c r="K389" s="22"/>
      <c r="L389" s="22"/>
      <c r="M389" s="22"/>
    </row>
    <row r="390" spans="2:13" ht="15.75" customHeight="1">
      <c r="B390" s="22"/>
      <c r="C390" s="192"/>
      <c r="D390" s="192"/>
      <c r="E390" s="192"/>
      <c r="F390" s="192"/>
      <c r="G390" s="22"/>
      <c r="H390" s="22"/>
      <c r="I390" s="22"/>
      <c r="J390" s="22"/>
      <c r="K390" s="22"/>
      <c r="L390" s="22"/>
      <c r="M390" s="22"/>
    </row>
    <row r="391" spans="2:13" ht="15.75" customHeight="1">
      <c r="B391" s="22"/>
      <c r="C391" s="192"/>
      <c r="D391" s="192"/>
      <c r="E391" s="192"/>
      <c r="F391" s="192"/>
      <c r="G391" s="22"/>
      <c r="H391" s="22"/>
      <c r="I391" s="22"/>
      <c r="J391" s="22"/>
      <c r="K391" s="22"/>
      <c r="L391" s="22"/>
      <c r="M391" s="22"/>
    </row>
    <row r="392" spans="2:13" ht="15.75" customHeight="1">
      <c r="B392" s="22"/>
      <c r="C392" s="192"/>
      <c r="D392" s="192"/>
      <c r="E392" s="192"/>
      <c r="F392" s="192"/>
      <c r="G392" s="22"/>
      <c r="H392" s="22"/>
      <c r="I392" s="22"/>
      <c r="J392" s="22"/>
      <c r="K392" s="22"/>
      <c r="L392" s="22"/>
      <c r="M392" s="22"/>
    </row>
    <row r="393" spans="2:13" ht="15.75" customHeight="1">
      <c r="B393" s="22"/>
      <c r="C393" s="192"/>
      <c r="D393" s="192"/>
      <c r="E393" s="192"/>
      <c r="F393" s="192"/>
      <c r="G393" s="22"/>
      <c r="H393" s="22"/>
      <c r="I393" s="22"/>
      <c r="J393" s="22"/>
      <c r="K393" s="22"/>
      <c r="L393" s="22"/>
      <c r="M393" s="22"/>
    </row>
    <row r="394" spans="2:13" ht="15.75" customHeight="1">
      <c r="B394" s="22"/>
      <c r="C394" s="192"/>
      <c r="D394" s="192"/>
      <c r="E394" s="192"/>
      <c r="F394" s="192"/>
      <c r="G394" s="22"/>
      <c r="H394" s="22"/>
      <c r="I394" s="22"/>
      <c r="J394" s="22"/>
      <c r="K394" s="22"/>
      <c r="L394" s="22"/>
      <c r="M394" s="22"/>
    </row>
    <row r="395" spans="2:13" ht="15.75" customHeight="1">
      <c r="B395" s="22"/>
      <c r="C395" s="192"/>
      <c r="D395" s="192"/>
      <c r="E395" s="192"/>
      <c r="F395" s="192"/>
      <c r="G395" s="22"/>
      <c r="H395" s="22"/>
      <c r="I395" s="22"/>
      <c r="J395" s="22"/>
      <c r="K395" s="22"/>
      <c r="L395" s="22"/>
      <c r="M395" s="22"/>
    </row>
    <row r="396" spans="2:13" ht="15.75" customHeight="1">
      <c r="B396" s="22"/>
      <c r="C396" s="192"/>
      <c r="D396" s="192"/>
      <c r="E396" s="192"/>
      <c r="F396" s="192"/>
      <c r="G396" s="22"/>
      <c r="H396" s="22"/>
      <c r="I396" s="22"/>
      <c r="J396" s="22"/>
      <c r="K396" s="22"/>
      <c r="L396" s="22"/>
      <c r="M396" s="22"/>
    </row>
    <row r="397" spans="2:13" ht="15.75" customHeight="1">
      <c r="B397" s="22"/>
      <c r="C397" s="192"/>
      <c r="D397" s="192"/>
      <c r="E397" s="192"/>
      <c r="F397" s="192"/>
      <c r="G397" s="22"/>
      <c r="H397" s="22"/>
      <c r="I397" s="22"/>
      <c r="J397" s="22"/>
      <c r="K397" s="22"/>
      <c r="L397" s="22"/>
      <c r="M397" s="22"/>
    </row>
    <row r="398" spans="2:13" ht="15.75" customHeight="1">
      <c r="B398" s="22"/>
      <c r="C398" s="192"/>
      <c r="D398" s="192"/>
      <c r="E398" s="192"/>
      <c r="F398" s="192"/>
      <c r="G398" s="22"/>
      <c r="H398" s="22"/>
      <c r="I398" s="22"/>
      <c r="J398" s="22"/>
      <c r="K398" s="22"/>
      <c r="L398" s="22"/>
      <c r="M398" s="22"/>
    </row>
    <row r="399" spans="2:13" ht="15.75" customHeight="1">
      <c r="B399" s="22"/>
      <c r="C399" s="192"/>
      <c r="D399" s="192"/>
      <c r="E399" s="192"/>
      <c r="F399" s="192"/>
      <c r="G399" s="22"/>
      <c r="H399" s="22"/>
      <c r="I399" s="22"/>
      <c r="J399" s="22"/>
      <c r="K399" s="22"/>
      <c r="L399" s="22"/>
      <c r="M399" s="22"/>
    </row>
    <row r="400" spans="2:13" ht="15.75" customHeight="1">
      <c r="B400" s="22"/>
      <c r="C400" s="192"/>
      <c r="D400" s="192"/>
      <c r="E400" s="192"/>
      <c r="F400" s="192"/>
      <c r="G400" s="22"/>
      <c r="H400" s="22"/>
      <c r="I400" s="22"/>
      <c r="J400" s="22"/>
      <c r="K400" s="22"/>
      <c r="L400" s="22"/>
      <c r="M400" s="22"/>
    </row>
    <row r="401" spans="2:13" ht="15.75" customHeight="1">
      <c r="B401" s="22"/>
      <c r="C401" s="192"/>
      <c r="D401" s="192"/>
      <c r="E401" s="192"/>
      <c r="F401" s="192"/>
      <c r="G401" s="22"/>
      <c r="H401" s="22"/>
      <c r="I401" s="22"/>
      <c r="J401" s="22"/>
      <c r="K401" s="22"/>
      <c r="L401" s="22"/>
      <c r="M401" s="22"/>
    </row>
    <row r="402" spans="2:13" ht="15.75" customHeight="1">
      <c r="B402" s="22"/>
      <c r="C402" s="192"/>
      <c r="D402" s="192"/>
      <c r="E402" s="192"/>
      <c r="F402" s="192"/>
      <c r="G402" s="22"/>
      <c r="H402" s="22"/>
      <c r="I402" s="22"/>
      <c r="J402" s="22"/>
      <c r="K402" s="22"/>
      <c r="L402" s="22"/>
      <c r="M402" s="22"/>
    </row>
    <row r="403" spans="2:13" ht="15.75" customHeight="1">
      <c r="B403" s="22"/>
      <c r="C403" s="192"/>
      <c r="D403" s="192"/>
      <c r="E403" s="192"/>
      <c r="F403" s="192"/>
      <c r="G403" s="22"/>
      <c r="H403" s="22"/>
      <c r="I403" s="22"/>
      <c r="J403" s="22"/>
      <c r="K403" s="22"/>
      <c r="L403" s="22"/>
      <c r="M403" s="22"/>
    </row>
    <row r="404" spans="2:13" ht="15.75" customHeight="1">
      <c r="B404" s="22"/>
      <c r="C404" s="192"/>
      <c r="D404" s="192"/>
      <c r="E404" s="192"/>
      <c r="F404" s="192"/>
      <c r="G404" s="22"/>
      <c r="H404" s="22"/>
      <c r="I404" s="22"/>
      <c r="J404" s="22"/>
      <c r="K404" s="22"/>
      <c r="L404" s="22"/>
      <c r="M404" s="22"/>
    </row>
    <row r="405" spans="2:13" ht="15.75" customHeight="1">
      <c r="B405" s="22"/>
      <c r="C405" s="192"/>
      <c r="D405" s="192"/>
      <c r="E405" s="192"/>
      <c r="F405" s="192"/>
      <c r="G405" s="22"/>
      <c r="H405" s="22"/>
      <c r="I405" s="22"/>
      <c r="J405" s="22"/>
      <c r="K405" s="22"/>
      <c r="L405" s="22"/>
      <c r="M405" s="22"/>
    </row>
    <row r="406" spans="2:13" ht="15.75" customHeight="1">
      <c r="B406" s="22"/>
      <c r="C406" s="192"/>
      <c r="D406" s="192"/>
      <c r="E406" s="192"/>
      <c r="F406" s="192"/>
      <c r="G406" s="22"/>
      <c r="H406" s="22"/>
      <c r="I406" s="22"/>
      <c r="J406" s="22"/>
      <c r="K406" s="22"/>
      <c r="L406" s="22"/>
      <c r="M406" s="22"/>
    </row>
    <row r="407" spans="2:13" ht="15.75" customHeight="1">
      <c r="B407" s="22"/>
      <c r="C407" s="192"/>
      <c r="D407" s="192"/>
      <c r="E407" s="192"/>
      <c r="F407" s="192"/>
      <c r="G407" s="22"/>
      <c r="H407" s="22"/>
      <c r="I407" s="22"/>
      <c r="J407" s="22"/>
      <c r="K407" s="22"/>
      <c r="L407" s="22"/>
      <c r="M407" s="22"/>
    </row>
    <row r="408" spans="2:13" ht="15.75" customHeight="1">
      <c r="B408" s="22"/>
      <c r="C408" s="192"/>
      <c r="D408" s="192"/>
      <c r="E408" s="192"/>
      <c r="F408" s="192"/>
      <c r="G408" s="22"/>
      <c r="H408" s="22"/>
      <c r="I408" s="22"/>
      <c r="J408" s="22"/>
      <c r="K408" s="22"/>
      <c r="L408" s="22"/>
      <c r="M408" s="22"/>
    </row>
    <row r="409" spans="2:13" ht="15.75" customHeight="1">
      <c r="B409" s="22"/>
      <c r="C409" s="192"/>
      <c r="D409" s="192"/>
      <c r="E409" s="192"/>
      <c r="F409" s="192"/>
      <c r="G409" s="22"/>
      <c r="H409" s="22"/>
      <c r="I409" s="22"/>
      <c r="J409" s="22"/>
      <c r="K409" s="22"/>
      <c r="L409" s="22"/>
      <c r="M409" s="22"/>
    </row>
    <row r="410" spans="2:13" ht="15.75" customHeight="1">
      <c r="B410" s="22"/>
      <c r="C410" s="192"/>
      <c r="D410" s="192"/>
      <c r="E410" s="192"/>
      <c r="F410" s="192"/>
      <c r="G410" s="22"/>
      <c r="H410" s="22"/>
      <c r="I410" s="22"/>
      <c r="J410" s="22"/>
      <c r="K410" s="22"/>
      <c r="L410" s="22"/>
      <c r="M410" s="22"/>
    </row>
    <row r="411" spans="2:13" ht="15.75" customHeight="1">
      <c r="B411" s="22"/>
      <c r="C411" s="192"/>
      <c r="D411" s="192"/>
      <c r="E411" s="192"/>
      <c r="F411" s="192"/>
      <c r="G411" s="22"/>
      <c r="H411" s="22"/>
      <c r="I411" s="22"/>
      <c r="J411" s="22"/>
      <c r="K411" s="22"/>
      <c r="L411" s="22"/>
      <c r="M411" s="22"/>
    </row>
    <row r="412" spans="2:13" ht="15.75" customHeight="1">
      <c r="B412" s="22"/>
      <c r="C412" s="192"/>
      <c r="D412" s="192"/>
      <c r="E412" s="192"/>
      <c r="F412" s="192"/>
      <c r="G412" s="22"/>
      <c r="H412" s="22"/>
      <c r="I412" s="22"/>
      <c r="J412" s="22"/>
      <c r="K412" s="22"/>
      <c r="L412" s="22"/>
      <c r="M412" s="22"/>
    </row>
    <row r="413" spans="2:13" ht="15.75" customHeight="1">
      <c r="B413" s="22"/>
      <c r="C413" s="192"/>
      <c r="D413" s="192"/>
      <c r="E413" s="192"/>
      <c r="F413" s="192"/>
      <c r="G413" s="22"/>
      <c r="H413" s="22"/>
      <c r="I413" s="22"/>
      <c r="J413" s="22"/>
      <c r="K413" s="22"/>
      <c r="L413" s="22"/>
      <c r="M413" s="22"/>
    </row>
    <row r="414" spans="2:13" ht="15.75" customHeight="1">
      <c r="B414" s="22"/>
      <c r="C414" s="192"/>
      <c r="D414" s="192"/>
      <c r="E414" s="192"/>
      <c r="F414" s="192"/>
      <c r="G414" s="22"/>
      <c r="H414" s="22"/>
      <c r="I414" s="22"/>
      <c r="J414" s="22"/>
      <c r="K414" s="22"/>
      <c r="L414" s="22"/>
      <c r="M414" s="22"/>
    </row>
    <row r="415" spans="2:13" ht="15.75" customHeight="1">
      <c r="B415" s="22"/>
      <c r="C415" s="192"/>
      <c r="D415" s="192"/>
      <c r="E415" s="192"/>
      <c r="F415" s="192"/>
      <c r="G415" s="22"/>
      <c r="H415" s="22"/>
      <c r="I415" s="22"/>
      <c r="J415" s="22"/>
      <c r="K415" s="22"/>
      <c r="L415" s="22"/>
      <c r="M415" s="22"/>
    </row>
    <row r="416" spans="2:13" ht="15.75" customHeight="1">
      <c r="B416" s="22"/>
      <c r="C416" s="192"/>
      <c r="D416" s="192"/>
      <c r="E416" s="192"/>
      <c r="F416" s="192"/>
      <c r="G416" s="22"/>
      <c r="H416" s="22"/>
      <c r="I416" s="22"/>
      <c r="J416" s="22"/>
      <c r="K416" s="22"/>
      <c r="L416" s="22"/>
      <c r="M416" s="22"/>
    </row>
    <row r="417" spans="2:13" ht="15.75" customHeight="1">
      <c r="B417" s="22"/>
      <c r="C417" s="192"/>
      <c r="D417" s="192"/>
      <c r="E417" s="192"/>
      <c r="F417" s="192"/>
      <c r="G417" s="22"/>
      <c r="H417" s="22"/>
      <c r="I417" s="22"/>
      <c r="J417" s="22"/>
      <c r="K417" s="22"/>
      <c r="L417" s="22"/>
      <c r="M417" s="22"/>
    </row>
    <row r="418" spans="2:13" ht="15.75" customHeight="1">
      <c r="B418" s="22"/>
      <c r="C418" s="192"/>
      <c r="D418" s="192"/>
      <c r="E418" s="192"/>
      <c r="F418" s="192"/>
      <c r="G418" s="22"/>
      <c r="H418" s="22"/>
      <c r="I418" s="22"/>
      <c r="J418" s="22"/>
      <c r="K418" s="22"/>
      <c r="L418" s="22"/>
      <c r="M418" s="22"/>
    </row>
    <row r="419" spans="2:13" ht="15.75" customHeight="1">
      <c r="B419" s="22"/>
      <c r="C419" s="192"/>
      <c r="D419" s="192"/>
      <c r="E419" s="192"/>
      <c r="F419" s="192"/>
      <c r="G419" s="22"/>
      <c r="H419" s="22"/>
      <c r="I419" s="22"/>
      <c r="J419" s="22"/>
      <c r="K419" s="22"/>
      <c r="L419" s="22"/>
      <c r="M419" s="22"/>
    </row>
    <row r="420" spans="2:13" ht="15.75" customHeight="1">
      <c r="B420" s="22"/>
      <c r="C420" s="192"/>
      <c r="D420" s="192"/>
      <c r="E420" s="192"/>
      <c r="F420" s="192"/>
      <c r="G420" s="22"/>
      <c r="H420" s="22"/>
      <c r="I420" s="22"/>
      <c r="J420" s="22"/>
      <c r="K420" s="22"/>
      <c r="L420" s="22"/>
      <c r="M420" s="22"/>
    </row>
    <row r="421" spans="2:13" ht="15.75" customHeight="1">
      <c r="B421" s="22"/>
      <c r="C421" s="192"/>
      <c r="D421" s="192"/>
      <c r="E421" s="192"/>
      <c r="F421" s="192"/>
      <c r="G421" s="22"/>
      <c r="H421" s="22"/>
      <c r="I421" s="22"/>
      <c r="J421" s="22"/>
      <c r="K421" s="22"/>
      <c r="L421" s="22"/>
      <c r="M421" s="22"/>
    </row>
    <row r="422" spans="2:13" ht="15.75" customHeight="1">
      <c r="B422" s="22"/>
      <c r="C422" s="192"/>
      <c r="D422" s="192"/>
      <c r="E422" s="192"/>
      <c r="F422" s="192"/>
      <c r="G422" s="22"/>
      <c r="H422" s="22"/>
      <c r="I422" s="22"/>
      <c r="J422" s="22"/>
      <c r="K422" s="22"/>
      <c r="L422" s="22"/>
      <c r="M422" s="22"/>
    </row>
    <row r="423" spans="2:13" ht="15.75" customHeight="1">
      <c r="B423" s="22"/>
      <c r="C423" s="192"/>
      <c r="D423" s="192"/>
      <c r="E423" s="192"/>
      <c r="F423" s="192"/>
      <c r="G423" s="22"/>
      <c r="H423" s="22"/>
      <c r="I423" s="22"/>
      <c r="J423" s="22"/>
      <c r="K423" s="22"/>
      <c r="L423" s="22"/>
      <c r="M423" s="22"/>
    </row>
    <row r="424" spans="2:13" ht="15.75" customHeight="1">
      <c r="B424" s="22"/>
      <c r="C424" s="192"/>
      <c r="D424" s="192"/>
      <c r="E424" s="192"/>
      <c r="F424" s="192"/>
      <c r="G424" s="22"/>
      <c r="H424" s="22"/>
      <c r="I424" s="22"/>
      <c r="J424" s="22"/>
      <c r="K424" s="22"/>
      <c r="L424" s="22"/>
      <c r="M424" s="22"/>
    </row>
    <row r="425" spans="2:13" ht="15.75" customHeight="1">
      <c r="B425" s="22"/>
      <c r="C425" s="192"/>
      <c r="D425" s="192"/>
      <c r="E425" s="192"/>
      <c r="F425" s="192"/>
      <c r="G425" s="22"/>
      <c r="H425" s="22"/>
      <c r="I425" s="22"/>
      <c r="J425" s="22"/>
      <c r="K425" s="22"/>
      <c r="L425" s="22"/>
      <c r="M425" s="22"/>
    </row>
    <row r="426" spans="2:13" ht="15.75" customHeight="1">
      <c r="B426" s="22"/>
      <c r="C426" s="192"/>
      <c r="D426" s="192"/>
      <c r="E426" s="192"/>
      <c r="F426" s="192"/>
      <c r="G426" s="22"/>
      <c r="H426" s="22"/>
      <c r="I426" s="22"/>
      <c r="J426" s="22"/>
      <c r="K426" s="22"/>
      <c r="L426" s="22"/>
      <c r="M426" s="22"/>
    </row>
    <row r="427" spans="2:13" ht="15.75" customHeight="1">
      <c r="B427" s="22"/>
      <c r="C427" s="192"/>
      <c r="D427" s="192"/>
      <c r="E427" s="192"/>
      <c r="F427" s="192"/>
      <c r="G427" s="22"/>
      <c r="H427" s="22"/>
      <c r="I427" s="22"/>
      <c r="J427" s="22"/>
      <c r="K427" s="22"/>
      <c r="L427" s="22"/>
      <c r="M427" s="22"/>
    </row>
    <row r="428" spans="2:13" ht="15.75" customHeight="1">
      <c r="B428" s="22"/>
      <c r="C428" s="192"/>
      <c r="D428" s="192"/>
      <c r="E428" s="192"/>
      <c r="F428" s="192"/>
      <c r="G428" s="22"/>
      <c r="H428" s="22"/>
      <c r="I428" s="22"/>
      <c r="J428" s="22"/>
      <c r="K428" s="22"/>
      <c r="L428" s="22"/>
      <c r="M428" s="22"/>
    </row>
    <row r="429" spans="2:13" ht="15.75" customHeight="1">
      <c r="B429" s="22"/>
      <c r="C429" s="192"/>
      <c r="D429" s="192"/>
      <c r="E429" s="192"/>
      <c r="F429" s="192"/>
      <c r="G429" s="22"/>
      <c r="H429" s="22"/>
      <c r="I429" s="22"/>
      <c r="J429" s="22"/>
      <c r="K429" s="22"/>
      <c r="L429" s="22"/>
      <c r="M429" s="22"/>
    </row>
    <row r="430" spans="2:13" ht="15.75" customHeight="1">
      <c r="B430" s="22"/>
      <c r="C430" s="192"/>
      <c r="D430" s="192"/>
      <c r="E430" s="192"/>
      <c r="F430" s="192"/>
      <c r="G430" s="22"/>
      <c r="H430" s="22"/>
      <c r="I430" s="22"/>
      <c r="J430" s="22"/>
      <c r="K430" s="22"/>
      <c r="L430" s="22"/>
      <c r="M430" s="22"/>
    </row>
    <row r="431" spans="2:13" ht="15.75" customHeight="1">
      <c r="B431" s="22"/>
      <c r="C431" s="192"/>
      <c r="D431" s="192"/>
      <c r="E431" s="192"/>
      <c r="F431" s="192"/>
      <c r="G431" s="22"/>
      <c r="H431" s="22"/>
      <c r="I431" s="22"/>
      <c r="J431" s="22"/>
      <c r="K431" s="22"/>
      <c r="L431" s="22"/>
      <c r="M431" s="22"/>
    </row>
    <row r="432" spans="2:13" ht="15.75" customHeight="1">
      <c r="B432" s="22"/>
      <c r="C432" s="192"/>
      <c r="D432" s="192"/>
      <c r="E432" s="192"/>
      <c r="F432" s="192"/>
      <c r="G432" s="22"/>
      <c r="H432" s="22"/>
      <c r="I432" s="22"/>
      <c r="J432" s="22"/>
      <c r="K432" s="22"/>
      <c r="L432" s="22"/>
      <c r="M432" s="22"/>
    </row>
    <row r="433" spans="2:13" ht="15.75" customHeight="1">
      <c r="B433" s="22"/>
      <c r="C433" s="192"/>
      <c r="D433" s="192"/>
      <c r="E433" s="192"/>
      <c r="F433" s="192"/>
      <c r="G433" s="22"/>
      <c r="H433" s="22"/>
      <c r="I433" s="22"/>
      <c r="J433" s="22"/>
      <c r="K433" s="22"/>
      <c r="L433" s="22"/>
      <c r="M433" s="22"/>
    </row>
    <row r="434" spans="2:13" ht="15.75" customHeight="1">
      <c r="B434" s="22"/>
      <c r="C434" s="192"/>
      <c r="D434" s="192"/>
      <c r="E434" s="192"/>
      <c r="F434" s="192"/>
      <c r="G434" s="22"/>
      <c r="H434" s="22"/>
      <c r="I434" s="22"/>
      <c r="J434" s="22"/>
      <c r="K434" s="22"/>
      <c r="L434" s="22"/>
      <c r="M434" s="22"/>
    </row>
    <row r="435" spans="2:13" ht="15.75" customHeight="1">
      <c r="B435" s="22"/>
      <c r="C435" s="22"/>
      <c r="D435" s="192"/>
      <c r="E435" s="192"/>
      <c r="F435" s="192"/>
      <c r="G435" s="22"/>
      <c r="H435" s="22"/>
      <c r="I435" s="22"/>
      <c r="J435" s="22"/>
      <c r="K435" s="22"/>
      <c r="L435" s="22"/>
      <c r="M435" s="22"/>
    </row>
    <row r="436" spans="2:13" ht="15.75" customHeight="1">
      <c r="B436" s="22"/>
      <c r="C436" s="22"/>
      <c r="D436" s="192"/>
      <c r="E436" s="192"/>
      <c r="F436" s="192"/>
      <c r="G436" s="22"/>
      <c r="H436" s="22"/>
      <c r="I436" s="22"/>
      <c r="J436" s="22"/>
      <c r="K436" s="22"/>
      <c r="L436" s="22"/>
      <c r="M436" s="22"/>
    </row>
    <row r="437" spans="2:13" ht="15.75" customHeight="1">
      <c r="B437" s="22"/>
      <c r="C437" s="22"/>
      <c r="D437" s="192"/>
      <c r="E437" s="192"/>
      <c r="F437" s="192"/>
      <c r="G437" s="22"/>
      <c r="H437" s="22"/>
      <c r="I437" s="22"/>
      <c r="J437" s="22"/>
      <c r="K437" s="22"/>
      <c r="L437" s="22"/>
      <c r="M437" s="22"/>
    </row>
    <row r="438" spans="2:13" ht="15.75" customHeight="1">
      <c r="B438" s="22"/>
      <c r="C438" s="22"/>
      <c r="D438" s="22"/>
      <c r="E438" s="22"/>
      <c r="F438" s="22"/>
      <c r="G438" s="22"/>
      <c r="H438" s="22"/>
      <c r="I438" s="22"/>
      <c r="J438" s="22"/>
      <c r="K438" s="22"/>
      <c r="L438" s="22"/>
      <c r="M438" s="22"/>
    </row>
    <row r="439" spans="2:13" ht="15.75" customHeight="1">
      <c r="B439" s="22"/>
      <c r="C439" s="22"/>
      <c r="D439" s="22"/>
      <c r="E439" s="22"/>
      <c r="F439" s="22"/>
      <c r="G439" s="22"/>
      <c r="H439" s="22"/>
      <c r="I439" s="22"/>
      <c r="J439" s="22"/>
      <c r="K439" s="22"/>
      <c r="L439" s="22"/>
      <c r="M439" s="22"/>
    </row>
    <row r="440" spans="2:13" ht="15.75" customHeight="1">
      <c r="B440" s="22"/>
      <c r="C440" s="22"/>
      <c r="D440" s="22"/>
      <c r="E440" s="22"/>
      <c r="F440" s="22"/>
      <c r="G440" s="22"/>
      <c r="H440" s="22"/>
      <c r="I440" s="22"/>
      <c r="J440" s="22"/>
      <c r="K440" s="22"/>
      <c r="L440" s="22"/>
      <c r="M440" s="22"/>
    </row>
    <row r="441" spans="2:13" ht="15.75" customHeight="1">
      <c r="B441" s="22"/>
      <c r="C441" s="22"/>
      <c r="D441" s="22"/>
      <c r="E441" s="22"/>
      <c r="F441" s="22"/>
      <c r="G441" s="22"/>
      <c r="H441" s="22"/>
      <c r="I441" s="22"/>
      <c r="J441" s="22"/>
      <c r="K441" s="22"/>
      <c r="L441" s="22"/>
      <c r="M441" s="22"/>
    </row>
    <row r="442" spans="2:13" ht="15.75" customHeight="1">
      <c r="B442" s="22"/>
      <c r="C442" s="22"/>
      <c r="D442" s="22"/>
      <c r="E442" s="22"/>
      <c r="F442" s="22"/>
      <c r="G442" s="22"/>
      <c r="H442" s="22"/>
      <c r="I442" s="22"/>
      <c r="J442" s="22"/>
      <c r="K442" s="22"/>
      <c r="L442" s="22"/>
      <c r="M442" s="22"/>
    </row>
    <row r="443" spans="2:13" ht="15.75" customHeight="1">
      <c r="B443" s="22"/>
      <c r="C443" s="22"/>
      <c r="D443" s="22"/>
      <c r="E443" s="22"/>
      <c r="F443" s="22"/>
      <c r="G443" s="22"/>
      <c r="H443" s="22"/>
      <c r="I443" s="22"/>
      <c r="J443" s="22"/>
      <c r="K443" s="22"/>
      <c r="L443" s="22"/>
      <c r="M443" s="22"/>
    </row>
    <row r="444" spans="2:13" ht="15.75" customHeight="1">
      <c r="B444" s="22"/>
      <c r="C444" s="22"/>
      <c r="D444" s="22"/>
      <c r="E444" s="22"/>
      <c r="F444" s="22"/>
      <c r="G444" s="22"/>
      <c r="H444" s="22"/>
      <c r="I444" s="22"/>
      <c r="J444" s="22"/>
      <c r="K444" s="22"/>
      <c r="L444" s="22"/>
      <c r="M444" s="22"/>
    </row>
    <row r="445" spans="2:13" ht="15.75" customHeight="1">
      <c r="B445" s="22"/>
      <c r="C445" s="22"/>
      <c r="D445" s="22"/>
      <c r="E445" s="22"/>
      <c r="F445" s="22"/>
      <c r="G445" s="22"/>
      <c r="H445" s="22"/>
      <c r="I445" s="22"/>
      <c r="J445" s="22"/>
      <c r="K445" s="22"/>
      <c r="L445" s="22"/>
      <c r="M445" s="22"/>
    </row>
    <row r="446" spans="2:13" ht="15.75" customHeight="1">
      <c r="B446" s="22"/>
      <c r="C446" s="22"/>
      <c r="D446" s="22"/>
      <c r="E446" s="22"/>
      <c r="F446" s="22"/>
      <c r="G446" s="22"/>
      <c r="H446" s="22"/>
      <c r="I446" s="22"/>
      <c r="J446" s="22"/>
      <c r="K446" s="22"/>
      <c r="L446" s="22"/>
      <c r="M446" s="22"/>
    </row>
    <row r="447" spans="2:13" ht="15.75" customHeight="1">
      <c r="B447" s="22"/>
      <c r="C447" s="22"/>
      <c r="D447" s="22"/>
      <c r="E447" s="22"/>
      <c r="F447" s="22"/>
      <c r="G447" s="22"/>
      <c r="H447" s="22"/>
      <c r="I447" s="22"/>
      <c r="J447" s="22"/>
      <c r="K447" s="22"/>
      <c r="L447" s="22"/>
      <c r="M447" s="22"/>
    </row>
    <row r="448" spans="2:13" ht="15.75" customHeight="1">
      <c r="B448" s="22"/>
      <c r="C448" s="22"/>
      <c r="D448" s="22"/>
      <c r="E448" s="22"/>
      <c r="F448" s="22"/>
      <c r="G448" s="22"/>
      <c r="H448" s="22"/>
      <c r="I448" s="22"/>
      <c r="J448" s="22"/>
      <c r="K448" s="22"/>
      <c r="L448" s="22"/>
      <c r="M448" s="22"/>
    </row>
    <row r="449" spans="2:13" ht="15.75" customHeight="1">
      <c r="B449" s="22"/>
      <c r="C449" s="22"/>
      <c r="D449" s="22"/>
      <c r="E449" s="22"/>
      <c r="F449" s="22"/>
      <c r="G449" s="22"/>
      <c r="H449" s="22"/>
      <c r="I449" s="22"/>
      <c r="J449" s="22"/>
      <c r="K449" s="22"/>
      <c r="L449" s="22"/>
      <c r="M449" s="22"/>
    </row>
    <row r="450" spans="2:13" ht="15.75" customHeight="1">
      <c r="B450" s="22"/>
      <c r="C450" s="22"/>
      <c r="D450" s="22"/>
      <c r="E450" s="22"/>
      <c r="F450" s="22"/>
      <c r="G450" s="22"/>
      <c r="H450" s="22"/>
      <c r="I450" s="22"/>
      <c r="J450" s="22"/>
      <c r="K450" s="22"/>
      <c r="L450" s="22"/>
      <c r="M450" s="22"/>
    </row>
    <row r="451" spans="2:13" ht="15.75" customHeight="1">
      <c r="B451" s="22"/>
      <c r="C451" s="22"/>
      <c r="D451" s="22"/>
      <c r="E451" s="22"/>
      <c r="F451" s="22"/>
      <c r="G451" s="22"/>
      <c r="H451" s="22"/>
      <c r="I451" s="22"/>
      <c r="J451" s="22"/>
      <c r="K451" s="22"/>
      <c r="L451" s="22"/>
      <c r="M451" s="22"/>
    </row>
    <row r="452" spans="2:13" ht="15.75" customHeight="1">
      <c r="B452" s="22"/>
      <c r="C452" s="22"/>
      <c r="D452" s="22"/>
      <c r="E452" s="22"/>
      <c r="F452" s="22"/>
      <c r="G452" s="22"/>
      <c r="H452" s="22"/>
      <c r="I452" s="22"/>
      <c r="J452" s="22"/>
      <c r="K452" s="22"/>
      <c r="L452" s="22"/>
      <c r="M452" s="22"/>
    </row>
    <row r="453" spans="2:13" ht="15.75" customHeight="1">
      <c r="B453" s="22"/>
      <c r="C453" s="22"/>
      <c r="D453" s="22"/>
      <c r="E453" s="22"/>
      <c r="F453" s="22"/>
      <c r="G453" s="22"/>
      <c r="H453" s="22"/>
      <c r="I453" s="22"/>
      <c r="J453" s="22"/>
      <c r="K453" s="22"/>
      <c r="L453" s="22"/>
      <c r="M453" s="22"/>
    </row>
    <row r="454" spans="2:13" ht="15.75" customHeight="1">
      <c r="B454" s="22"/>
      <c r="C454" s="22"/>
      <c r="D454" s="22"/>
      <c r="E454" s="22"/>
      <c r="F454" s="22"/>
      <c r="G454" s="22"/>
      <c r="H454" s="22"/>
      <c r="I454" s="22"/>
      <c r="J454" s="22"/>
      <c r="K454" s="22"/>
      <c r="L454" s="22"/>
      <c r="M454" s="22"/>
    </row>
    <row r="455" spans="2:13" ht="15.75" customHeight="1">
      <c r="B455" s="22"/>
      <c r="C455" s="22"/>
      <c r="D455" s="22"/>
      <c r="E455" s="22"/>
      <c r="F455" s="22"/>
      <c r="G455" s="22"/>
      <c r="H455" s="22"/>
      <c r="I455" s="22"/>
      <c r="J455" s="22"/>
      <c r="K455" s="22"/>
      <c r="L455" s="22"/>
      <c r="M455" s="22"/>
    </row>
    <row r="456" spans="2:13" ht="15.75" customHeight="1">
      <c r="B456" s="22"/>
      <c r="C456" s="22"/>
      <c r="D456" s="22"/>
      <c r="E456" s="22"/>
      <c r="F456" s="22"/>
      <c r="G456" s="22"/>
      <c r="H456" s="22"/>
      <c r="I456" s="22"/>
      <c r="J456" s="22"/>
      <c r="K456" s="22"/>
      <c r="L456" s="22"/>
      <c r="M456" s="22"/>
    </row>
    <row r="457" spans="2:13" ht="15.75" customHeight="1">
      <c r="B457" s="22"/>
      <c r="C457" s="22"/>
      <c r="D457" s="22"/>
      <c r="E457" s="22"/>
      <c r="F457" s="22"/>
      <c r="G457" s="22"/>
      <c r="H457" s="22"/>
      <c r="I457" s="22"/>
      <c r="J457" s="22"/>
      <c r="K457" s="22"/>
      <c r="L457" s="22"/>
      <c r="M457" s="22"/>
    </row>
    <row r="458" spans="2:13" ht="15.75" customHeight="1">
      <c r="B458" s="22"/>
      <c r="C458" s="22"/>
      <c r="D458" s="22"/>
      <c r="E458" s="22"/>
      <c r="F458" s="22"/>
      <c r="G458" s="22"/>
      <c r="H458" s="22"/>
      <c r="I458" s="22"/>
      <c r="J458" s="22"/>
      <c r="K458" s="22"/>
      <c r="L458" s="22"/>
      <c r="M458" s="22"/>
    </row>
    <row r="459" spans="2:13" ht="15.75" customHeight="1">
      <c r="B459" s="22"/>
      <c r="C459" s="22"/>
      <c r="D459" s="22"/>
      <c r="E459" s="22"/>
      <c r="F459" s="22"/>
      <c r="G459" s="22"/>
      <c r="H459" s="22"/>
      <c r="I459" s="22"/>
      <c r="J459" s="22"/>
      <c r="K459" s="22"/>
      <c r="L459" s="22"/>
      <c r="M459" s="22"/>
    </row>
    <row r="460" spans="2:13" ht="15.75" customHeight="1">
      <c r="B460" s="22"/>
      <c r="C460" s="22"/>
      <c r="D460" s="22"/>
      <c r="E460" s="22"/>
      <c r="F460" s="22"/>
      <c r="G460" s="22"/>
      <c r="H460" s="22"/>
      <c r="I460" s="22"/>
      <c r="J460" s="22"/>
      <c r="K460" s="22"/>
      <c r="L460" s="22"/>
      <c r="M460" s="22"/>
    </row>
    <row r="461" spans="2:13" ht="15.75" customHeight="1">
      <c r="B461" s="22"/>
      <c r="C461" s="22"/>
      <c r="D461" s="22"/>
      <c r="E461" s="22"/>
      <c r="F461" s="22"/>
      <c r="G461" s="22"/>
      <c r="H461" s="22"/>
      <c r="I461" s="22"/>
      <c r="J461" s="22"/>
      <c r="K461" s="22"/>
      <c r="L461" s="22"/>
      <c r="M461" s="22"/>
    </row>
    <row r="462" spans="2:13" ht="15.75" customHeight="1">
      <c r="B462" s="22"/>
      <c r="C462" s="22"/>
      <c r="D462" s="22"/>
      <c r="E462" s="22"/>
      <c r="F462" s="22"/>
      <c r="G462" s="22"/>
      <c r="H462" s="22"/>
      <c r="I462" s="22"/>
      <c r="J462" s="22"/>
      <c r="K462" s="22"/>
      <c r="L462" s="22"/>
      <c r="M462" s="22"/>
    </row>
    <row r="463" spans="2:13" ht="15.75" customHeight="1">
      <c r="B463" s="22"/>
      <c r="C463" s="22"/>
      <c r="D463" s="22"/>
      <c r="E463" s="22"/>
      <c r="F463" s="22"/>
      <c r="G463" s="22"/>
      <c r="H463" s="22"/>
      <c r="I463" s="22"/>
      <c r="J463" s="22"/>
      <c r="K463" s="22"/>
      <c r="L463" s="22"/>
      <c r="M463" s="22"/>
    </row>
    <row r="464" spans="2:13" ht="15.75" customHeight="1">
      <c r="B464" s="22"/>
      <c r="C464" s="22"/>
      <c r="D464" s="22"/>
      <c r="E464" s="22"/>
      <c r="F464" s="22"/>
      <c r="G464" s="22"/>
      <c r="H464" s="22"/>
      <c r="I464" s="22"/>
      <c r="J464" s="22"/>
      <c r="K464" s="22"/>
      <c r="L464" s="22"/>
      <c r="M464" s="22"/>
    </row>
    <row r="465" spans="2:13" ht="15.75" customHeight="1">
      <c r="B465" s="22"/>
      <c r="C465" s="22"/>
      <c r="D465" s="22"/>
      <c r="E465" s="22"/>
      <c r="F465" s="22"/>
      <c r="G465" s="22"/>
      <c r="H465" s="22"/>
      <c r="I465" s="22"/>
      <c r="J465" s="22"/>
      <c r="K465" s="22"/>
      <c r="L465" s="22"/>
      <c r="M465" s="22"/>
    </row>
    <row r="466" spans="2:13" ht="15.75" customHeight="1">
      <c r="B466" s="22"/>
      <c r="C466" s="22"/>
      <c r="D466" s="22"/>
      <c r="E466" s="22"/>
      <c r="F466" s="22"/>
      <c r="G466" s="22"/>
      <c r="H466" s="22"/>
      <c r="I466" s="22"/>
      <c r="J466" s="22"/>
      <c r="K466" s="22"/>
      <c r="L466" s="22"/>
      <c r="M466" s="22"/>
    </row>
    <row r="467" spans="2:13" ht="15.75" customHeight="1">
      <c r="B467" s="22"/>
      <c r="C467" s="22"/>
      <c r="D467" s="22"/>
      <c r="E467" s="22"/>
      <c r="F467" s="22"/>
      <c r="G467" s="22"/>
      <c r="H467" s="22"/>
      <c r="I467" s="22"/>
      <c r="J467" s="22"/>
      <c r="K467" s="22"/>
      <c r="L467" s="22"/>
      <c r="M467" s="22"/>
    </row>
    <row r="468" spans="2:13" ht="15.75" customHeight="1">
      <c r="B468" s="22"/>
      <c r="C468" s="22"/>
      <c r="D468" s="22"/>
      <c r="E468" s="22"/>
      <c r="F468" s="22"/>
      <c r="G468" s="22"/>
      <c r="H468" s="22"/>
      <c r="I468" s="22"/>
      <c r="J468" s="22"/>
      <c r="K468" s="22"/>
      <c r="L468" s="22"/>
      <c r="M468" s="22"/>
    </row>
    <row r="469" spans="2:13" ht="15.75" customHeight="1">
      <c r="B469" s="22"/>
      <c r="C469" s="22"/>
      <c r="D469" s="22"/>
      <c r="E469" s="22"/>
      <c r="F469" s="22"/>
      <c r="G469" s="22"/>
      <c r="H469" s="22"/>
      <c r="I469" s="22"/>
      <c r="J469" s="22"/>
      <c r="K469" s="22"/>
      <c r="L469" s="22"/>
      <c r="M469" s="22"/>
    </row>
    <row r="470" spans="2:13" ht="15.75" customHeight="1">
      <c r="B470" s="22"/>
      <c r="C470" s="22"/>
      <c r="D470" s="22"/>
      <c r="E470" s="22"/>
      <c r="F470" s="22"/>
      <c r="G470" s="22"/>
      <c r="H470" s="22"/>
      <c r="I470" s="22"/>
      <c r="J470" s="22"/>
      <c r="K470" s="22"/>
      <c r="L470" s="22"/>
      <c r="M470" s="22"/>
    </row>
    <row r="471" spans="2:13" ht="15.75" customHeight="1">
      <c r="B471" s="22"/>
      <c r="C471" s="22"/>
      <c r="D471" s="22"/>
      <c r="E471" s="22"/>
      <c r="F471" s="22"/>
      <c r="G471" s="22"/>
      <c r="H471" s="22"/>
      <c r="I471" s="22"/>
      <c r="J471" s="22"/>
      <c r="K471" s="22"/>
      <c r="L471" s="22"/>
      <c r="M471" s="22"/>
    </row>
    <row r="472" spans="2:13" ht="15.75" customHeight="1">
      <c r="B472" s="22"/>
      <c r="C472" s="22"/>
      <c r="D472" s="22"/>
      <c r="E472" s="22"/>
      <c r="F472" s="22"/>
      <c r="G472" s="22"/>
      <c r="H472" s="22"/>
      <c r="I472" s="22"/>
      <c r="J472" s="22"/>
      <c r="K472" s="22"/>
      <c r="L472" s="22"/>
      <c r="M472" s="22"/>
    </row>
    <row r="473" spans="2:13" ht="15.75" customHeight="1">
      <c r="B473" s="22"/>
      <c r="C473" s="22"/>
      <c r="D473" s="22"/>
      <c r="E473" s="22"/>
      <c r="F473" s="22"/>
      <c r="G473" s="22"/>
      <c r="H473" s="22"/>
      <c r="I473" s="22"/>
      <c r="J473" s="22"/>
      <c r="K473" s="22"/>
      <c r="L473" s="22"/>
      <c r="M473" s="22"/>
    </row>
    <row r="474" spans="2:13" ht="15.75" customHeight="1">
      <c r="B474" s="22"/>
      <c r="C474" s="22"/>
      <c r="D474" s="22"/>
      <c r="E474" s="22"/>
      <c r="F474" s="22"/>
      <c r="G474" s="22"/>
      <c r="H474" s="22"/>
      <c r="I474" s="22"/>
      <c r="J474" s="22"/>
      <c r="K474" s="22"/>
      <c r="L474" s="22"/>
      <c r="M474" s="22"/>
    </row>
    <row r="475" spans="2:13" ht="15.75" customHeight="1">
      <c r="B475" s="22"/>
      <c r="C475" s="22"/>
      <c r="D475" s="22"/>
      <c r="E475" s="22"/>
      <c r="F475" s="22"/>
      <c r="G475" s="22"/>
      <c r="H475" s="22"/>
      <c r="I475" s="22"/>
      <c r="J475" s="22"/>
      <c r="K475" s="22"/>
      <c r="L475" s="22"/>
      <c r="M475" s="22"/>
    </row>
    <row r="476" spans="2:13" ht="15.75" customHeight="1">
      <c r="B476" s="22"/>
      <c r="C476" s="22"/>
      <c r="D476" s="22"/>
      <c r="E476" s="22"/>
      <c r="F476" s="22"/>
      <c r="G476" s="22"/>
      <c r="H476" s="22"/>
      <c r="I476" s="22"/>
      <c r="J476" s="22"/>
      <c r="K476" s="22"/>
      <c r="L476" s="22"/>
      <c r="M476" s="22"/>
    </row>
    <row r="477" spans="2:13" ht="15.75" customHeight="1">
      <c r="B477" s="22"/>
      <c r="C477" s="22"/>
      <c r="D477" s="22"/>
      <c r="E477" s="22"/>
      <c r="F477" s="22"/>
      <c r="G477" s="22"/>
      <c r="H477" s="22"/>
      <c r="I477" s="22"/>
      <c r="J477" s="22"/>
      <c r="K477" s="22"/>
      <c r="L477" s="22"/>
      <c r="M477" s="22"/>
    </row>
    <row r="478" spans="2:13" ht="15.75" customHeight="1">
      <c r="B478" s="22"/>
      <c r="C478" s="22"/>
      <c r="D478" s="22"/>
      <c r="E478" s="22"/>
      <c r="F478" s="22"/>
      <c r="G478" s="22"/>
      <c r="H478" s="22"/>
      <c r="I478" s="22"/>
      <c r="J478" s="22"/>
      <c r="K478" s="22"/>
      <c r="L478" s="22"/>
      <c r="M478" s="22"/>
    </row>
    <row r="479" spans="2:13" ht="15.75" customHeight="1">
      <c r="B479" s="22"/>
      <c r="C479" s="22"/>
      <c r="D479" s="22"/>
      <c r="E479" s="22"/>
      <c r="F479" s="22"/>
      <c r="G479" s="22"/>
      <c r="H479" s="22"/>
      <c r="I479" s="22"/>
      <c r="J479" s="22"/>
      <c r="K479" s="22"/>
      <c r="L479" s="22"/>
      <c r="M479" s="22"/>
    </row>
    <row r="480" spans="2:13" ht="15.75" customHeight="1">
      <c r="B480" s="22"/>
      <c r="C480" s="22"/>
      <c r="D480" s="22"/>
      <c r="E480" s="22"/>
      <c r="F480" s="22"/>
      <c r="G480" s="22"/>
      <c r="H480" s="22"/>
      <c r="I480" s="22"/>
      <c r="J480" s="22"/>
      <c r="K480" s="22"/>
      <c r="L480" s="22"/>
      <c r="M480" s="22"/>
    </row>
    <row r="481" spans="2:13" ht="15.75" customHeight="1">
      <c r="B481" s="22"/>
      <c r="C481" s="22"/>
      <c r="D481" s="22"/>
      <c r="E481" s="22"/>
      <c r="F481" s="22"/>
      <c r="G481" s="22"/>
      <c r="H481" s="22"/>
      <c r="I481" s="22"/>
      <c r="J481" s="22"/>
      <c r="K481" s="22"/>
      <c r="L481" s="22"/>
      <c r="M481" s="22"/>
    </row>
    <row r="482" spans="2:13" ht="15.75" customHeight="1">
      <c r="B482" s="22"/>
      <c r="C482" s="22"/>
      <c r="D482" s="22"/>
      <c r="E482" s="22"/>
      <c r="F482" s="22"/>
      <c r="G482" s="22"/>
      <c r="H482" s="22"/>
      <c r="I482" s="22"/>
      <c r="J482" s="22"/>
      <c r="K482" s="22"/>
      <c r="L482" s="22"/>
      <c r="M482" s="22"/>
    </row>
    <row r="483" spans="2:13" ht="15.75" customHeight="1">
      <c r="B483" s="22"/>
      <c r="C483" s="22"/>
      <c r="D483" s="22"/>
      <c r="E483" s="22"/>
      <c r="F483" s="22"/>
      <c r="G483" s="22"/>
      <c r="H483" s="22"/>
      <c r="I483" s="22"/>
      <c r="J483" s="22"/>
      <c r="K483" s="22"/>
      <c r="L483" s="22"/>
      <c r="M483" s="22"/>
    </row>
    <row r="484" spans="2:13" ht="15.75" customHeight="1">
      <c r="B484" s="22"/>
      <c r="C484" s="22"/>
      <c r="D484" s="22"/>
      <c r="E484" s="22"/>
      <c r="F484" s="22"/>
      <c r="G484" s="22"/>
      <c r="H484" s="22"/>
      <c r="I484" s="22"/>
      <c r="J484" s="22"/>
      <c r="K484" s="22"/>
      <c r="L484" s="22"/>
      <c r="M484" s="22"/>
    </row>
    <row r="485" spans="2:13" ht="15.75" customHeight="1">
      <c r="B485" s="22"/>
      <c r="C485" s="22"/>
      <c r="D485" s="22"/>
      <c r="E485" s="22"/>
      <c r="F485" s="22"/>
      <c r="G485" s="22"/>
      <c r="H485" s="22"/>
      <c r="I485" s="22"/>
      <c r="J485" s="22"/>
      <c r="K485" s="22"/>
      <c r="L485" s="22"/>
      <c r="M485" s="22"/>
    </row>
    <row r="486" spans="2:13" ht="15.75" customHeight="1">
      <c r="B486" s="22"/>
      <c r="C486" s="22"/>
      <c r="D486" s="22"/>
      <c r="E486" s="22"/>
      <c r="F486" s="22"/>
      <c r="G486" s="22"/>
      <c r="H486" s="22"/>
      <c r="I486" s="22"/>
      <c r="J486" s="22"/>
      <c r="K486" s="22"/>
      <c r="L486" s="22"/>
      <c r="M486" s="22"/>
    </row>
    <row r="487" spans="2:13" ht="15.75" customHeight="1">
      <c r="B487" s="22"/>
      <c r="C487" s="22"/>
      <c r="D487" s="22"/>
      <c r="E487" s="22"/>
      <c r="F487" s="22"/>
      <c r="G487" s="22"/>
      <c r="H487" s="22"/>
      <c r="I487" s="22"/>
      <c r="J487" s="22"/>
      <c r="K487" s="22"/>
      <c r="L487" s="22"/>
      <c r="M487" s="22"/>
    </row>
    <row r="488" spans="2:13" ht="15.75" customHeight="1">
      <c r="B488" s="22"/>
      <c r="C488" s="22"/>
      <c r="D488" s="22"/>
      <c r="E488" s="22"/>
      <c r="F488" s="22"/>
      <c r="G488" s="22"/>
      <c r="H488" s="22"/>
      <c r="I488" s="22"/>
      <c r="J488" s="22"/>
      <c r="K488" s="22"/>
      <c r="L488" s="22"/>
      <c r="M488" s="22"/>
    </row>
    <row r="489" spans="2:13" ht="15.75" customHeight="1">
      <c r="B489" s="22"/>
      <c r="C489" s="22"/>
      <c r="D489" s="22"/>
      <c r="E489" s="22"/>
      <c r="F489" s="22"/>
      <c r="G489" s="22"/>
      <c r="H489" s="22"/>
      <c r="I489" s="22"/>
      <c r="J489" s="22"/>
      <c r="K489" s="22"/>
      <c r="L489" s="22"/>
      <c r="M489" s="22"/>
    </row>
    <row r="490" spans="2:13" ht="15.75" customHeight="1">
      <c r="B490" s="22"/>
      <c r="C490" s="22"/>
      <c r="D490" s="22"/>
      <c r="E490" s="22"/>
      <c r="F490" s="22"/>
      <c r="G490" s="22"/>
      <c r="H490" s="22"/>
      <c r="I490" s="22"/>
      <c r="J490" s="22"/>
      <c r="K490" s="22"/>
      <c r="L490" s="22"/>
      <c r="M490" s="22"/>
    </row>
    <row r="491" spans="2:13" ht="15.75" customHeight="1">
      <c r="B491" s="22"/>
      <c r="C491" s="22"/>
      <c r="D491" s="22"/>
      <c r="E491" s="22"/>
      <c r="F491" s="22"/>
      <c r="G491" s="22"/>
      <c r="H491" s="22"/>
      <c r="I491" s="22"/>
      <c r="J491" s="22"/>
      <c r="K491" s="22"/>
      <c r="L491" s="22"/>
      <c r="M491" s="22"/>
    </row>
    <row r="492" spans="2:13" ht="15.75" customHeight="1">
      <c r="B492" s="22"/>
      <c r="C492" s="22"/>
      <c r="D492" s="22"/>
      <c r="E492" s="22"/>
      <c r="F492" s="22"/>
      <c r="G492" s="22"/>
      <c r="H492" s="22"/>
      <c r="I492" s="22"/>
      <c r="J492" s="22"/>
      <c r="K492" s="22"/>
      <c r="L492" s="22"/>
      <c r="M492" s="22"/>
    </row>
    <row r="493" spans="2:13" ht="15.75" customHeight="1">
      <c r="B493" s="22"/>
      <c r="C493" s="22"/>
      <c r="D493" s="22"/>
      <c r="E493" s="22"/>
      <c r="F493" s="22"/>
      <c r="G493" s="22"/>
      <c r="H493" s="22"/>
      <c r="I493" s="22"/>
      <c r="J493" s="22"/>
      <c r="K493" s="22"/>
      <c r="L493" s="22"/>
      <c r="M493" s="22"/>
    </row>
    <row r="494" spans="2:13" ht="15.75" customHeight="1">
      <c r="B494" s="22"/>
      <c r="C494" s="22"/>
      <c r="D494" s="22"/>
      <c r="E494" s="22"/>
      <c r="F494" s="22"/>
      <c r="G494" s="22"/>
      <c r="H494" s="22"/>
      <c r="I494" s="22"/>
      <c r="J494" s="22"/>
      <c r="K494" s="22"/>
      <c r="L494" s="22"/>
      <c r="M494" s="22"/>
    </row>
    <row r="495" spans="2:13" ht="15.75" customHeight="1">
      <c r="B495" s="22"/>
      <c r="C495" s="22"/>
      <c r="D495" s="22"/>
      <c r="E495" s="22"/>
      <c r="F495" s="22"/>
      <c r="G495" s="22"/>
      <c r="H495" s="22"/>
      <c r="I495" s="22"/>
      <c r="J495" s="22"/>
      <c r="K495" s="22"/>
      <c r="L495" s="22"/>
      <c r="M495" s="22"/>
    </row>
    <row r="496" spans="2:13" ht="15.75" customHeight="1">
      <c r="B496" s="22"/>
      <c r="C496" s="22"/>
      <c r="D496" s="22"/>
      <c r="E496" s="22"/>
      <c r="F496" s="22"/>
      <c r="G496" s="22"/>
      <c r="H496" s="22"/>
      <c r="I496" s="22"/>
      <c r="J496" s="22"/>
      <c r="K496" s="22"/>
      <c r="L496" s="22"/>
      <c r="M496" s="22"/>
    </row>
    <row r="497" spans="2:13" ht="15.75" customHeight="1">
      <c r="B497" s="22"/>
      <c r="C497" s="22"/>
      <c r="D497" s="22"/>
      <c r="E497" s="22"/>
      <c r="F497" s="22"/>
      <c r="G497" s="22"/>
      <c r="H497" s="22"/>
      <c r="I497" s="22"/>
      <c r="J497" s="22"/>
      <c r="K497" s="22"/>
      <c r="L497" s="22"/>
      <c r="M497" s="22"/>
    </row>
    <row r="498" spans="2:13" ht="15.75" customHeight="1">
      <c r="B498" s="22"/>
      <c r="C498" s="22"/>
      <c r="D498" s="22"/>
      <c r="E498" s="22"/>
      <c r="F498" s="22"/>
      <c r="G498" s="22"/>
      <c r="H498" s="22"/>
      <c r="I498" s="22"/>
      <c r="J498" s="22"/>
      <c r="K498" s="22"/>
      <c r="L498" s="22"/>
      <c r="M498" s="22"/>
    </row>
    <row r="499" spans="2:13" ht="15.75" customHeight="1">
      <c r="B499" s="22"/>
      <c r="C499" s="22"/>
      <c r="D499" s="22"/>
      <c r="E499" s="22"/>
      <c r="F499" s="22"/>
      <c r="G499" s="22"/>
      <c r="H499" s="22"/>
      <c r="I499" s="22"/>
      <c r="J499" s="22"/>
      <c r="K499" s="22"/>
      <c r="L499" s="22"/>
      <c r="M499" s="22"/>
    </row>
    <row r="500" spans="2:13" ht="15.75" customHeight="1">
      <c r="B500" s="22"/>
      <c r="C500" s="22"/>
      <c r="D500" s="22"/>
      <c r="E500" s="22"/>
      <c r="F500" s="22"/>
      <c r="G500" s="22"/>
      <c r="H500" s="22"/>
      <c r="I500" s="22"/>
      <c r="J500" s="22"/>
      <c r="K500" s="22"/>
      <c r="L500" s="22"/>
      <c r="M500" s="22"/>
    </row>
    <row r="501" spans="2:13" ht="15.75" customHeight="1">
      <c r="B501" s="22"/>
      <c r="C501" s="22"/>
      <c r="D501" s="22"/>
      <c r="E501" s="22"/>
      <c r="F501" s="22"/>
      <c r="G501" s="22"/>
      <c r="H501" s="22"/>
      <c r="I501" s="22"/>
      <c r="J501" s="22"/>
      <c r="K501" s="22"/>
      <c r="L501" s="22"/>
      <c r="M501" s="22"/>
    </row>
    <row r="502" spans="2:13" ht="15.75" customHeight="1">
      <c r="B502" s="22"/>
      <c r="C502" s="22"/>
      <c r="D502" s="22"/>
      <c r="E502" s="22"/>
      <c r="F502" s="22"/>
      <c r="G502" s="22"/>
      <c r="H502" s="22"/>
      <c r="I502" s="22"/>
      <c r="J502" s="22"/>
      <c r="K502" s="22"/>
      <c r="L502" s="22"/>
      <c r="M502" s="22"/>
    </row>
    <row r="503" spans="2:13" ht="15.75" customHeight="1">
      <c r="B503" s="22"/>
      <c r="C503" s="22"/>
      <c r="D503" s="22"/>
      <c r="E503" s="22"/>
      <c r="F503" s="22"/>
      <c r="G503" s="22"/>
      <c r="H503" s="22"/>
      <c r="I503" s="22"/>
      <c r="J503" s="22"/>
      <c r="K503" s="22"/>
      <c r="L503" s="22"/>
      <c r="M503" s="22"/>
    </row>
    <row r="504" spans="2:13" ht="15.75" customHeight="1">
      <c r="B504" s="22"/>
      <c r="C504" s="22"/>
      <c r="D504" s="22"/>
      <c r="E504" s="22"/>
      <c r="F504" s="22"/>
      <c r="G504" s="22"/>
      <c r="H504" s="22"/>
      <c r="I504" s="22"/>
      <c r="J504" s="22"/>
      <c r="K504" s="22"/>
      <c r="L504" s="22"/>
      <c r="M504" s="22"/>
    </row>
    <row r="505" spans="2:13" ht="15.75" customHeight="1">
      <c r="B505" s="22"/>
      <c r="C505" s="22"/>
      <c r="D505" s="22"/>
      <c r="E505" s="22"/>
      <c r="F505" s="22"/>
      <c r="G505" s="22"/>
      <c r="H505" s="22"/>
      <c r="I505" s="22"/>
      <c r="J505" s="22"/>
      <c r="K505" s="22"/>
      <c r="L505" s="22"/>
      <c r="M505" s="22"/>
    </row>
    <row r="506" spans="2:13" ht="15.75" customHeight="1">
      <c r="B506" s="22"/>
      <c r="C506" s="22"/>
      <c r="D506" s="22"/>
      <c r="E506" s="22"/>
      <c r="F506" s="22"/>
      <c r="G506" s="22"/>
      <c r="H506" s="22"/>
      <c r="I506" s="22"/>
      <c r="J506" s="22"/>
      <c r="K506" s="22"/>
      <c r="L506" s="22"/>
      <c r="M506" s="22"/>
    </row>
    <row r="507" spans="2:13" ht="15.75" customHeight="1">
      <c r="B507" s="22"/>
      <c r="C507" s="22"/>
      <c r="D507" s="22"/>
      <c r="E507" s="22"/>
      <c r="F507" s="22"/>
      <c r="G507" s="22"/>
      <c r="H507" s="22"/>
      <c r="I507" s="22"/>
      <c r="J507" s="22"/>
      <c r="K507" s="22"/>
      <c r="L507" s="22"/>
      <c r="M507" s="22"/>
    </row>
    <row r="508" spans="2:13" ht="15.75" customHeight="1">
      <c r="B508" s="22"/>
      <c r="C508" s="22"/>
      <c r="D508" s="22"/>
      <c r="E508" s="22"/>
      <c r="F508" s="22"/>
      <c r="G508" s="22"/>
      <c r="H508" s="22"/>
      <c r="I508" s="22"/>
      <c r="J508" s="22"/>
      <c r="K508" s="22"/>
      <c r="L508" s="22"/>
      <c r="M508" s="22"/>
    </row>
    <row r="509" spans="2:13" ht="15.75" customHeight="1">
      <c r="B509" s="22"/>
      <c r="C509" s="22"/>
      <c r="D509" s="22"/>
      <c r="E509" s="22"/>
      <c r="F509" s="22"/>
      <c r="G509" s="22"/>
      <c r="H509" s="22"/>
      <c r="I509" s="22"/>
      <c r="J509" s="22"/>
      <c r="K509" s="22"/>
      <c r="L509" s="22"/>
      <c r="M509" s="22"/>
    </row>
    <row r="510" spans="2:13" ht="15.75" customHeight="1">
      <c r="B510" s="22"/>
      <c r="C510" s="22"/>
      <c r="D510" s="22"/>
      <c r="E510" s="22"/>
      <c r="F510" s="22"/>
      <c r="G510" s="22"/>
      <c r="H510" s="22"/>
      <c r="I510" s="22"/>
      <c r="J510" s="22"/>
      <c r="K510" s="22"/>
      <c r="L510" s="22"/>
      <c r="M510" s="22"/>
    </row>
    <row r="511" spans="2:13" ht="15.75" customHeight="1">
      <c r="B511" s="22"/>
      <c r="C511" s="22"/>
      <c r="D511" s="22"/>
      <c r="E511" s="22"/>
      <c r="F511" s="22"/>
      <c r="G511" s="22"/>
      <c r="H511" s="22"/>
      <c r="I511" s="22"/>
      <c r="J511" s="22"/>
      <c r="K511" s="22"/>
      <c r="L511" s="22"/>
      <c r="M511" s="22"/>
    </row>
    <row r="512" spans="2:13" ht="15.75" customHeight="1">
      <c r="B512" s="22"/>
      <c r="C512" s="22"/>
      <c r="D512" s="22"/>
      <c r="E512" s="22"/>
      <c r="F512" s="22"/>
      <c r="G512" s="22"/>
      <c r="H512" s="22"/>
      <c r="I512" s="22"/>
      <c r="J512" s="22"/>
      <c r="K512" s="22"/>
      <c r="L512" s="22"/>
      <c r="M512" s="22"/>
    </row>
    <row r="513" spans="2:13" ht="15.75" customHeight="1">
      <c r="B513" s="22"/>
      <c r="C513" s="22"/>
      <c r="D513" s="22"/>
      <c r="E513" s="22"/>
      <c r="F513" s="22"/>
      <c r="G513" s="22"/>
      <c r="H513" s="22"/>
      <c r="I513" s="22"/>
      <c r="J513" s="22"/>
      <c r="K513" s="22"/>
      <c r="L513" s="22"/>
      <c r="M513" s="22"/>
    </row>
    <row r="514" spans="2:13" ht="15.75" customHeight="1">
      <c r="B514" s="22"/>
      <c r="C514" s="22"/>
      <c r="D514" s="22"/>
      <c r="E514" s="22"/>
      <c r="F514" s="22"/>
      <c r="G514" s="22"/>
      <c r="H514" s="22"/>
      <c r="I514" s="22"/>
      <c r="J514" s="22"/>
      <c r="K514" s="22"/>
      <c r="L514" s="22"/>
      <c r="M514" s="22"/>
    </row>
    <row r="515" spans="2:13" ht="15.75" customHeight="1">
      <c r="B515" s="22"/>
      <c r="C515" s="22"/>
      <c r="D515" s="22"/>
      <c r="E515" s="22"/>
      <c r="F515" s="22"/>
      <c r="G515" s="22"/>
      <c r="H515" s="22"/>
      <c r="I515" s="22"/>
      <c r="J515" s="22"/>
      <c r="K515" s="22"/>
      <c r="L515" s="22"/>
      <c r="M515" s="22"/>
    </row>
    <row r="516" spans="2:13" ht="15.75" customHeight="1">
      <c r="B516" s="22"/>
      <c r="C516" s="22"/>
      <c r="D516" s="22"/>
      <c r="E516" s="22"/>
      <c r="F516" s="22"/>
      <c r="G516" s="22"/>
      <c r="H516" s="22"/>
      <c r="I516" s="22"/>
      <c r="J516" s="22"/>
      <c r="K516" s="22"/>
      <c r="L516" s="22"/>
      <c r="M516" s="22"/>
    </row>
    <row r="517" spans="2:13" ht="15.75" customHeight="1">
      <c r="B517" s="22"/>
      <c r="C517" s="22"/>
      <c r="D517" s="22"/>
      <c r="E517" s="22"/>
      <c r="F517" s="22"/>
      <c r="G517" s="22"/>
      <c r="H517" s="22"/>
      <c r="I517" s="22"/>
      <c r="J517" s="22"/>
      <c r="K517" s="22"/>
      <c r="L517" s="22"/>
      <c r="M517" s="22"/>
    </row>
    <row r="518" spans="2:13" ht="15.75" customHeight="1">
      <c r="B518" s="22"/>
      <c r="C518" s="22"/>
      <c r="D518" s="22"/>
      <c r="E518" s="22"/>
      <c r="F518" s="22"/>
      <c r="G518" s="22"/>
      <c r="H518" s="22"/>
      <c r="I518" s="22"/>
      <c r="J518" s="22"/>
      <c r="K518" s="22"/>
      <c r="L518" s="22"/>
      <c r="M518" s="22"/>
    </row>
    <row r="519" spans="2:13" ht="15.75" customHeight="1">
      <c r="B519" s="22"/>
      <c r="C519" s="22"/>
      <c r="D519" s="22"/>
      <c r="E519" s="22"/>
      <c r="F519" s="22"/>
      <c r="G519" s="22"/>
      <c r="H519" s="22"/>
      <c r="I519" s="22"/>
      <c r="J519" s="22"/>
      <c r="K519" s="22"/>
      <c r="L519" s="22"/>
      <c r="M519" s="22"/>
    </row>
    <row r="520" spans="2:13" ht="15.75" customHeight="1">
      <c r="B520" s="22"/>
      <c r="C520" s="22"/>
      <c r="D520" s="22"/>
      <c r="E520" s="22"/>
      <c r="F520" s="22"/>
      <c r="G520" s="22"/>
      <c r="H520" s="22"/>
      <c r="I520" s="22"/>
      <c r="J520" s="22"/>
      <c r="K520" s="22"/>
      <c r="L520" s="22"/>
      <c r="M520" s="22"/>
    </row>
    <row r="521" spans="2:13" ht="15.75" customHeight="1">
      <c r="B521" s="22"/>
      <c r="C521" s="22"/>
      <c r="D521" s="22"/>
      <c r="E521" s="22"/>
      <c r="F521" s="22"/>
      <c r="G521" s="22"/>
      <c r="H521" s="22"/>
      <c r="I521" s="22"/>
      <c r="J521" s="22"/>
      <c r="K521" s="22"/>
      <c r="L521" s="22"/>
      <c r="M521" s="22"/>
    </row>
    <row r="522" spans="2:13" ht="15.75" customHeight="1">
      <c r="B522" s="22"/>
      <c r="C522" s="22"/>
      <c r="D522" s="22"/>
      <c r="E522" s="22"/>
      <c r="F522" s="22"/>
      <c r="G522" s="22"/>
      <c r="H522" s="22"/>
      <c r="I522" s="22"/>
      <c r="J522" s="22"/>
      <c r="K522" s="22"/>
      <c r="L522" s="22"/>
      <c r="M522" s="22"/>
    </row>
    <row r="523" spans="2:13" ht="15.75" customHeight="1">
      <c r="B523" s="22"/>
      <c r="C523" s="22"/>
      <c r="D523" s="22"/>
      <c r="E523" s="22"/>
      <c r="F523" s="22"/>
      <c r="G523" s="22"/>
      <c r="H523" s="22"/>
      <c r="I523" s="22"/>
      <c r="J523" s="22"/>
      <c r="K523" s="22"/>
      <c r="L523" s="22"/>
      <c r="M523" s="22"/>
    </row>
    <row r="524" spans="2:13" ht="15.75" customHeight="1">
      <c r="B524" s="22"/>
      <c r="C524" s="22"/>
      <c r="D524" s="22"/>
      <c r="E524" s="22"/>
      <c r="F524" s="22"/>
      <c r="G524" s="22"/>
      <c r="H524" s="22"/>
      <c r="I524" s="22"/>
      <c r="J524" s="22"/>
      <c r="K524" s="22"/>
      <c r="L524" s="22"/>
      <c r="M524" s="22"/>
    </row>
    <row r="525" spans="2:13" ht="15.75" customHeight="1">
      <c r="B525" s="22"/>
      <c r="C525" s="22"/>
      <c r="D525" s="22"/>
      <c r="E525" s="22"/>
      <c r="F525" s="22"/>
      <c r="G525" s="22"/>
      <c r="H525" s="22"/>
      <c r="I525" s="22"/>
      <c r="J525" s="22"/>
      <c r="K525" s="22"/>
      <c r="L525" s="22"/>
      <c r="M525" s="22"/>
    </row>
    <row r="526" spans="2:13" ht="15.75" customHeight="1">
      <c r="B526" s="22"/>
      <c r="C526" s="22"/>
      <c r="D526" s="22"/>
      <c r="E526" s="22"/>
      <c r="F526" s="22"/>
      <c r="G526" s="22"/>
      <c r="H526" s="22"/>
      <c r="I526" s="22"/>
      <c r="J526" s="22"/>
      <c r="K526" s="22"/>
      <c r="L526" s="22"/>
      <c r="M526" s="22"/>
    </row>
    <row r="527" spans="2:13" ht="15.75" customHeight="1">
      <c r="B527" s="22"/>
      <c r="C527" s="22"/>
      <c r="D527" s="22"/>
      <c r="E527" s="22"/>
      <c r="F527" s="22"/>
      <c r="G527" s="22"/>
      <c r="H527" s="22"/>
      <c r="I527" s="22"/>
      <c r="J527" s="22"/>
      <c r="K527" s="22"/>
      <c r="L527" s="22"/>
      <c r="M527" s="22"/>
    </row>
    <row r="528" spans="2:13" ht="15.75" customHeight="1">
      <c r="B528" s="22"/>
      <c r="C528" s="22"/>
      <c r="D528" s="22"/>
      <c r="E528" s="22"/>
      <c r="F528" s="22"/>
      <c r="G528" s="22"/>
      <c r="H528" s="22"/>
      <c r="I528" s="22"/>
      <c r="J528" s="22"/>
      <c r="K528" s="22"/>
      <c r="L528" s="22"/>
      <c r="M528" s="22"/>
    </row>
    <row r="529" spans="2:13" ht="15.75" customHeight="1">
      <c r="B529" s="22"/>
      <c r="C529" s="22"/>
      <c r="D529" s="22"/>
      <c r="E529" s="22"/>
      <c r="F529" s="22"/>
      <c r="G529" s="22"/>
      <c r="H529" s="22"/>
      <c r="I529" s="22"/>
      <c r="J529" s="22"/>
      <c r="K529" s="22"/>
      <c r="L529" s="22"/>
      <c r="M529" s="22"/>
    </row>
    <row r="530" spans="2:13" ht="15.75" customHeight="1">
      <c r="B530" s="22"/>
      <c r="C530" s="22"/>
      <c r="D530" s="22"/>
      <c r="E530" s="22"/>
      <c r="F530" s="22"/>
      <c r="G530" s="22"/>
      <c r="H530" s="22"/>
      <c r="I530" s="22"/>
      <c r="J530" s="22"/>
      <c r="K530" s="22"/>
      <c r="L530" s="22"/>
      <c r="M530" s="22"/>
    </row>
    <row r="531" spans="2:13" ht="15.75" customHeight="1">
      <c r="B531" s="22"/>
      <c r="C531" s="22"/>
      <c r="D531" s="22"/>
      <c r="E531" s="22"/>
      <c r="F531" s="22"/>
      <c r="G531" s="22"/>
      <c r="H531" s="22"/>
      <c r="I531" s="22"/>
      <c r="J531" s="22"/>
      <c r="K531" s="22"/>
      <c r="L531" s="22"/>
      <c r="M531" s="22"/>
    </row>
    <row r="532" spans="2:13" ht="15.75" customHeight="1">
      <c r="B532" s="22"/>
      <c r="C532" s="22"/>
      <c r="D532" s="22"/>
      <c r="E532" s="22"/>
      <c r="F532" s="22"/>
      <c r="G532" s="22"/>
      <c r="H532" s="22"/>
      <c r="I532" s="22"/>
      <c r="J532" s="22"/>
      <c r="K532" s="22"/>
      <c r="L532" s="22"/>
      <c r="M532" s="22"/>
    </row>
    <row r="533" spans="2:13" ht="15.75" customHeight="1">
      <c r="B533" s="22"/>
      <c r="C533" s="22"/>
      <c r="D533" s="22"/>
      <c r="E533" s="22"/>
      <c r="F533" s="22"/>
      <c r="G533" s="22"/>
      <c r="H533" s="22"/>
      <c r="I533" s="22"/>
      <c r="J533" s="22"/>
      <c r="K533" s="22"/>
      <c r="L533" s="22"/>
      <c r="M533" s="22"/>
    </row>
    <row r="534" spans="2:13" ht="15.75" customHeight="1">
      <c r="B534" s="22"/>
      <c r="C534" s="22"/>
      <c r="D534" s="22"/>
      <c r="E534" s="22"/>
      <c r="F534" s="22"/>
      <c r="G534" s="22"/>
      <c r="H534" s="22"/>
      <c r="I534" s="22"/>
      <c r="J534" s="22"/>
      <c r="K534" s="22"/>
      <c r="L534" s="22"/>
      <c r="M534" s="22"/>
    </row>
    <row r="535" spans="2:13" ht="15.75" customHeight="1">
      <c r="B535" s="22"/>
      <c r="C535" s="22"/>
      <c r="D535" s="22"/>
      <c r="E535" s="22"/>
      <c r="F535" s="22"/>
      <c r="G535" s="22"/>
      <c r="H535" s="22"/>
      <c r="I535" s="22"/>
      <c r="J535" s="22"/>
      <c r="K535" s="22"/>
      <c r="L535" s="22"/>
      <c r="M535" s="22"/>
    </row>
    <row r="536" spans="2:13" ht="15.75" customHeight="1">
      <c r="B536" s="22"/>
      <c r="C536" s="22"/>
      <c r="D536" s="22"/>
      <c r="E536" s="22"/>
      <c r="F536" s="22"/>
      <c r="G536" s="22"/>
      <c r="H536" s="22"/>
      <c r="I536" s="22"/>
      <c r="J536" s="22"/>
      <c r="K536" s="22"/>
      <c r="L536" s="22"/>
      <c r="M536" s="22"/>
    </row>
    <row r="537" spans="2:13" ht="15.75" customHeight="1">
      <c r="B537" s="22"/>
      <c r="C537" s="22"/>
      <c r="D537" s="22"/>
      <c r="E537" s="22"/>
      <c r="F537" s="22"/>
      <c r="G537" s="22"/>
      <c r="H537" s="22"/>
      <c r="I537" s="22"/>
      <c r="J537" s="22"/>
      <c r="K537" s="22"/>
      <c r="L537" s="22"/>
      <c r="M537" s="22"/>
    </row>
    <row r="538" spans="2:13" ht="15.75" customHeight="1">
      <c r="B538" s="22"/>
      <c r="C538" s="22"/>
      <c r="D538" s="22"/>
      <c r="E538" s="22"/>
      <c r="F538" s="22"/>
      <c r="G538" s="22"/>
      <c r="H538" s="22"/>
      <c r="I538" s="22"/>
      <c r="J538" s="22"/>
      <c r="K538" s="22"/>
      <c r="L538" s="22"/>
      <c r="M538" s="22"/>
    </row>
    <row r="539" spans="2:13" ht="15.75" customHeight="1">
      <c r="B539" s="22"/>
      <c r="C539" s="22"/>
      <c r="D539" s="22"/>
      <c r="E539" s="22"/>
      <c r="F539" s="22"/>
      <c r="G539" s="22"/>
      <c r="H539" s="22"/>
      <c r="I539" s="22"/>
      <c r="J539" s="22"/>
      <c r="K539" s="22"/>
      <c r="L539" s="22"/>
      <c r="M539" s="22"/>
    </row>
    <row r="540" spans="2:13" ht="15.75" customHeight="1">
      <c r="B540" s="22"/>
      <c r="C540" s="22"/>
      <c r="D540" s="22"/>
      <c r="E540" s="22"/>
      <c r="F540" s="22"/>
      <c r="G540" s="22"/>
      <c r="H540" s="22"/>
      <c r="I540" s="22"/>
      <c r="J540" s="22"/>
      <c r="K540" s="22"/>
      <c r="L540" s="22"/>
      <c r="M540" s="22"/>
    </row>
    <row r="541" spans="2:13" ht="15.75" customHeight="1">
      <c r="B541" s="22"/>
      <c r="C541" s="22"/>
      <c r="D541" s="22"/>
      <c r="E541" s="22"/>
      <c r="F541" s="22"/>
      <c r="G541" s="22"/>
      <c r="H541" s="22"/>
      <c r="I541" s="22"/>
      <c r="J541" s="22"/>
      <c r="K541" s="22"/>
      <c r="L541" s="22"/>
      <c r="M541" s="22"/>
    </row>
    <row r="542" spans="2:13" ht="15.75" customHeight="1">
      <c r="B542" s="22"/>
      <c r="C542" s="22"/>
      <c r="D542" s="22"/>
      <c r="E542" s="22"/>
      <c r="F542" s="22"/>
      <c r="G542" s="22"/>
      <c r="H542" s="22"/>
      <c r="I542" s="22"/>
      <c r="J542" s="22"/>
      <c r="K542" s="22"/>
      <c r="L542" s="22"/>
      <c r="M542" s="22"/>
    </row>
    <row r="543" spans="2:13" ht="15.75" customHeight="1">
      <c r="B543" s="22"/>
      <c r="C543" s="22"/>
      <c r="D543" s="22"/>
      <c r="E543" s="22"/>
      <c r="F543" s="22"/>
      <c r="G543" s="22"/>
      <c r="H543" s="22"/>
      <c r="I543" s="22"/>
      <c r="J543" s="22"/>
      <c r="K543" s="22"/>
      <c r="L543" s="22"/>
      <c r="M543" s="22"/>
    </row>
    <row r="544" spans="2:13" ht="15.75" customHeight="1">
      <c r="B544" s="22"/>
      <c r="C544" s="22"/>
      <c r="D544" s="22"/>
      <c r="E544" s="22"/>
      <c r="F544" s="22"/>
      <c r="G544" s="22"/>
      <c r="H544" s="22"/>
      <c r="I544" s="22"/>
      <c r="J544" s="22"/>
      <c r="K544" s="22"/>
      <c r="L544" s="22"/>
      <c r="M544" s="22"/>
    </row>
    <row r="545" spans="2:13" ht="15.75" customHeight="1">
      <c r="B545" s="22"/>
      <c r="C545" s="22"/>
      <c r="D545" s="22"/>
      <c r="E545" s="22"/>
      <c r="F545" s="22"/>
      <c r="G545" s="22"/>
      <c r="H545" s="22"/>
      <c r="I545" s="22"/>
      <c r="J545" s="22"/>
      <c r="K545" s="22"/>
      <c r="L545" s="22"/>
      <c r="M545" s="22"/>
    </row>
    <row r="546" spans="2:13" ht="15.75" customHeight="1">
      <c r="B546" s="22"/>
      <c r="C546" s="22"/>
      <c r="D546" s="22"/>
      <c r="E546" s="22"/>
      <c r="F546" s="22"/>
      <c r="G546" s="22"/>
      <c r="H546" s="22"/>
      <c r="I546" s="22"/>
      <c r="J546" s="22"/>
      <c r="K546" s="22"/>
      <c r="L546" s="22"/>
      <c r="M546" s="22"/>
    </row>
    <row r="547" spans="2:13" ht="15.75" customHeight="1">
      <c r="B547" s="22"/>
      <c r="C547" s="22"/>
      <c r="D547" s="22"/>
      <c r="E547" s="22"/>
      <c r="F547" s="22"/>
      <c r="G547" s="22"/>
      <c r="H547" s="22"/>
      <c r="I547" s="22"/>
      <c r="J547" s="22"/>
      <c r="K547" s="22"/>
      <c r="L547" s="22"/>
      <c r="M547" s="22"/>
    </row>
    <row r="548" spans="2:13" ht="15.75" customHeight="1">
      <c r="B548" s="22"/>
      <c r="C548" s="22"/>
      <c r="D548" s="22"/>
      <c r="E548" s="22"/>
      <c r="F548" s="22"/>
      <c r="G548" s="22"/>
      <c r="H548" s="22"/>
      <c r="I548" s="22"/>
      <c r="J548" s="22"/>
      <c r="K548" s="22"/>
      <c r="L548" s="22"/>
      <c r="M548" s="22"/>
    </row>
    <row r="549" spans="2:13" ht="15.75" customHeight="1">
      <c r="B549" s="22"/>
      <c r="C549" s="22"/>
      <c r="D549" s="22"/>
      <c r="E549" s="22"/>
      <c r="F549" s="22"/>
      <c r="G549" s="22"/>
      <c r="H549" s="22"/>
      <c r="I549" s="22"/>
      <c r="J549" s="22"/>
      <c r="K549" s="22"/>
      <c r="L549" s="22"/>
      <c r="M549" s="22"/>
    </row>
    <row r="550" spans="2:13" ht="15.75" customHeight="1">
      <c r="B550" s="22"/>
      <c r="C550" s="22"/>
      <c r="D550" s="22"/>
      <c r="E550" s="22"/>
      <c r="F550" s="22"/>
      <c r="G550" s="22"/>
      <c r="H550" s="22"/>
      <c r="I550" s="22"/>
      <c r="J550" s="22"/>
      <c r="K550" s="22"/>
      <c r="L550" s="22"/>
      <c r="M550" s="22"/>
    </row>
    <row r="551" spans="2:13" ht="15.75" customHeight="1">
      <c r="B551" s="22"/>
      <c r="C551" s="22"/>
      <c r="D551" s="22"/>
      <c r="E551" s="22"/>
      <c r="F551" s="22"/>
      <c r="G551" s="22"/>
      <c r="H551" s="22"/>
      <c r="I551" s="22"/>
      <c r="J551" s="22"/>
      <c r="K551" s="22"/>
      <c r="L551" s="22"/>
      <c r="M551" s="22"/>
    </row>
    <row r="552" spans="2:13" ht="15.75" customHeight="1">
      <c r="B552" s="22"/>
      <c r="C552" s="22"/>
      <c r="D552" s="22"/>
      <c r="E552" s="22"/>
      <c r="F552" s="22"/>
      <c r="G552" s="22"/>
      <c r="H552" s="22"/>
      <c r="I552" s="22"/>
      <c r="J552" s="22"/>
      <c r="K552" s="22"/>
      <c r="L552" s="22"/>
      <c r="M552" s="22"/>
    </row>
    <row r="553" spans="2:13" ht="15.75" customHeight="1">
      <c r="B553" s="22"/>
      <c r="C553" s="22"/>
      <c r="D553" s="22"/>
      <c r="E553" s="22"/>
      <c r="F553" s="22"/>
      <c r="G553" s="22"/>
      <c r="H553" s="22"/>
      <c r="I553" s="22"/>
      <c r="J553" s="22"/>
      <c r="K553" s="22"/>
      <c r="L553" s="22"/>
      <c r="M553" s="22"/>
    </row>
    <row r="554" spans="2:13" ht="15.75" customHeight="1">
      <c r="B554" s="22"/>
      <c r="C554" s="22"/>
      <c r="D554" s="22"/>
      <c r="E554" s="22"/>
      <c r="F554" s="22"/>
      <c r="G554" s="22"/>
      <c r="H554" s="22"/>
      <c r="I554" s="22"/>
      <c r="J554" s="22"/>
      <c r="K554" s="22"/>
      <c r="L554" s="22"/>
      <c r="M554" s="22"/>
    </row>
    <row r="555" spans="2:13" ht="15.75" customHeight="1">
      <c r="B555" s="22"/>
      <c r="C555" s="22"/>
      <c r="D555" s="22"/>
      <c r="E555" s="22"/>
      <c r="F555" s="22"/>
      <c r="G555" s="22"/>
      <c r="H555" s="22"/>
      <c r="I555" s="22"/>
      <c r="J555" s="22"/>
      <c r="K555" s="22"/>
      <c r="L555" s="22"/>
      <c r="M555" s="22"/>
    </row>
    <row r="556" spans="2:13" ht="15.75" customHeight="1">
      <c r="B556" s="22"/>
      <c r="C556" s="22"/>
      <c r="D556" s="22"/>
      <c r="E556" s="22"/>
      <c r="F556" s="22"/>
      <c r="G556" s="22"/>
      <c r="H556" s="22"/>
      <c r="I556" s="22"/>
      <c r="J556" s="22"/>
      <c r="K556" s="22"/>
      <c r="L556" s="22"/>
      <c r="M556" s="22"/>
    </row>
    <row r="557" spans="2:13" ht="15.75" customHeight="1">
      <c r="B557" s="22"/>
      <c r="C557" s="22"/>
      <c r="D557" s="22"/>
      <c r="E557" s="22"/>
      <c r="F557" s="22"/>
      <c r="G557" s="22"/>
      <c r="H557" s="22"/>
      <c r="I557" s="22"/>
      <c r="J557" s="22"/>
      <c r="K557" s="22"/>
      <c r="L557" s="22"/>
      <c r="M557" s="22"/>
    </row>
    <row r="558" spans="2:13" ht="15.75" customHeight="1">
      <c r="B558" s="22"/>
      <c r="C558" s="22"/>
      <c r="D558" s="22"/>
      <c r="E558" s="22"/>
      <c r="F558" s="22"/>
      <c r="G558" s="22"/>
      <c r="H558" s="22"/>
      <c r="I558" s="22"/>
      <c r="J558" s="22"/>
      <c r="K558" s="22"/>
      <c r="L558" s="22"/>
      <c r="M558" s="22"/>
    </row>
    <row r="559" spans="2:13" ht="15.75" customHeight="1">
      <c r="B559" s="22"/>
      <c r="C559" s="22"/>
      <c r="D559" s="22"/>
      <c r="E559" s="22"/>
      <c r="F559" s="22"/>
      <c r="G559" s="22"/>
      <c r="H559" s="22"/>
      <c r="I559" s="22"/>
      <c r="J559" s="22"/>
      <c r="K559" s="22"/>
      <c r="L559" s="22"/>
      <c r="M559" s="22"/>
    </row>
    <row r="560" spans="2:13" ht="15.75" customHeight="1">
      <c r="B560" s="22"/>
      <c r="C560" s="22"/>
      <c r="D560" s="22"/>
      <c r="E560" s="22"/>
      <c r="F560" s="22"/>
      <c r="G560" s="22"/>
      <c r="H560" s="22"/>
      <c r="I560" s="22"/>
      <c r="J560" s="22"/>
      <c r="K560" s="22"/>
      <c r="L560" s="22"/>
      <c r="M560" s="22"/>
    </row>
    <row r="561" spans="2:13" ht="15.75" customHeight="1">
      <c r="B561" s="22"/>
      <c r="C561" s="22"/>
      <c r="D561" s="22"/>
      <c r="E561" s="22"/>
      <c r="F561" s="22"/>
      <c r="G561" s="22"/>
      <c r="H561" s="22"/>
      <c r="I561" s="22"/>
      <c r="J561" s="22"/>
      <c r="K561" s="22"/>
      <c r="L561" s="22"/>
      <c r="M561" s="22"/>
    </row>
    <row r="562" spans="2:13" ht="15.75" customHeight="1">
      <c r="B562" s="22"/>
      <c r="C562" s="22"/>
      <c r="D562" s="22"/>
      <c r="E562" s="22"/>
      <c r="F562" s="22"/>
      <c r="G562" s="22"/>
      <c r="H562" s="22"/>
      <c r="I562" s="22"/>
      <c r="J562" s="22"/>
      <c r="K562" s="22"/>
      <c r="L562" s="22"/>
      <c r="M562" s="22"/>
    </row>
    <row r="563" spans="2:13" ht="15.75" customHeight="1">
      <c r="B563" s="22"/>
      <c r="C563" s="22"/>
      <c r="D563" s="22"/>
      <c r="E563" s="22"/>
      <c r="F563" s="22"/>
      <c r="G563" s="22"/>
      <c r="H563" s="22"/>
      <c r="I563" s="22"/>
      <c r="J563" s="22"/>
      <c r="K563" s="22"/>
      <c r="L563" s="22"/>
      <c r="M563" s="22"/>
    </row>
    <row r="564" spans="2:13" ht="15.75" customHeight="1">
      <c r="B564" s="22"/>
      <c r="C564" s="22"/>
      <c r="D564" s="22"/>
      <c r="E564" s="22"/>
      <c r="F564" s="22"/>
      <c r="G564" s="22"/>
      <c r="H564" s="22"/>
      <c r="I564" s="22"/>
      <c r="J564" s="22"/>
      <c r="K564" s="22"/>
      <c r="L564" s="22"/>
      <c r="M564" s="22"/>
    </row>
    <row r="565" spans="2:13" ht="15.75" customHeight="1">
      <c r="B565" s="22"/>
      <c r="C565" s="22"/>
      <c r="D565" s="22"/>
      <c r="E565" s="22"/>
      <c r="F565" s="22"/>
      <c r="G565" s="22"/>
      <c r="H565" s="22"/>
      <c r="I565" s="22"/>
      <c r="J565" s="22"/>
      <c r="K565" s="22"/>
      <c r="L565" s="22"/>
      <c r="M565" s="22"/>
    </row>
    <row r="566" spans="2:13" ht="15.75" customHeight="1">
      <c r="B566" s="22"/>
      <c r="C566" s="22"/>
      <c r="D566" s="22"/>
      <c r="E566" s="22"/>
      <c r="F566" s="22"/>
      <c r="G566" s="22"/>
      <c r="H566" s="22"/>
      <c r="I566" s="22"/>
      <c r="J566" s="22"/>
      <c r="K566" s="22"/>
      <c r="L566" s="22"/>
      <c r="M566" s="22"/>
    </row>
    <row r="567" spans="2:13" ht="15.75" customHeight="1">
      <c r="B567" s="22"/>
      <c r="C567" s="22"/>
      <c r="D567" s="22"/>
      <c r="E567" s="22"/>
      <c r="F567" s="22"/>
      <c r="G567" s="22"/>
      <c r="H567" s="22"/>
      <c r="I567" s="22"/>
      <c r="J567" s="22"/>
      <c r="K567" s="22"/>
      <c r="L567" s="22"/>
      <c r="M567" s="22"/>
    </row>
    <row r="568" spans="2:13" ht="15.75" customHeight="1">
      <c r="B568" s="22"/>
      <c r="C568" s="22"/>
      <c r="D568" s="22"/>
      <c r="E568" s="22"/>
      <c r="F568" s="22"/>
      <c r="G568" s="22"/>
      <c r="H568" s="22"/>
      <c r="I568" s="22"/>
      <c r="J568" s="22"/>
      <c r="K568" s="22"/>
      <c r="L568" s="22"/>
      <c r="M568" s="22"/>
    </row>
    <row r="569" spans="2:13" ht="15.75" customHeight="1">
      <c r="B569" s="22"/>
      <c r="C569" s="22"/>
      <c r="D569" s="22"/>
      <c r="E569" s="22"/>
      <c r="F569" s="22"/>
      <c r="G569" s="22"/>
      <c r="H569" s="22"/>
      <c r="I569" s="22"/>
      <c r="J569" s="22"/>
      <c r="K569" s="22"/>
      <c r="L569" s="22"/>
      <c r="M569" s="22"/>
    </row>
    <row r="570" spans="2:13" ht="15.75" customHeight="1">
      <c r="B570" s="22"/>
      <c r="C570" s="22"/>
      <c r="D570" s="22"/>
      <c r="E570" s="22"/>
      <c r="F570" s="22"/>
      <c r="G570" s="22"/>
      <c r="H570" s="22"/>
      <c r="I570" s="22"/>
      <c r="J570" s="22"/>
      <c r="K570" s="22"/>
      <c r="L570" s="22"/>
      <c r="M570" s="22"/>
    </row>
    <row r="571" spans="2:13" ht="15.75" customHeight="1">
      <c r="B571" s="22"/>
      <c r="C571" s="22"/>
      <c r="D571" s="22"/>
      <c r="E571" s="22"/>
      <c r="F571" s="22"/>
      <c r="G571" s="22"/>
      <c r="H571" s="22"/>
      <c r="I571" s="22"/>
      <c r="J571" s="22"/>
      <c r="K571" s="22"/>
      <c r="L571" s="22"/>
      <c r="M571" s="22"/>
    </row>
    <row r="572" spans="2:13" ht="15.75" customHeight="1">
      <c r="B572" s="22"/>
      <c r="C572" s="22"/>
      <c r="D572" s="22"/>
      <c r="E572" s="22"/>
      <c r="F572" s="22"/>
      <c r="G572" s="22"/>
      <c r="H572" s="22"/>
      <c r="I572" s="22"/>
      <c r="J572" s="22"/>
      <c r="K572" s="22"/>
      <c r="L572" s="22"/>
      <c r="M572" s="22"/>
    </row>
    <row r="573" spans="2:13" ht="15.75" customHeight="1">
      <c r="B573" s="22"/>
      <c r="C573" s="22"/>
      <c r="D573" s="22"/>
      <c r="E573" s="22"/>
      <c r="F573" s="22"/>
      <c r="G573" s="22"/>
      <c r="H573" s="22"/>
      <c r="I573" s="22"/>
      <c r="J573" s="22"/>
      <c r="K573" s="22"/>
      <c r="L573" s="22"/>
      <c r="M573" s="22"/>
    </row>
    <row r="574" spans="2:13" ht="15.75" customHeight="1">
      <c r="B574" s="22"/>
      <c r="C574" s="22"/>
      <c r="D574" s="22"/>
      <c r="E574" s="22"/>
      <c r="F574" s="22"/>
      <c r="G574" s="22"/>
      <c r="H574" s="22"/>
      <c r="I574" s="22"/>
      <c r="J574" s="22"/>
      <c r="K574" s="22"/>
      <c r="L574" s="22"/>
      <c r="M574" s="22"/>
    </row>
    <row r="575" spans="2:13" ht="15.75" customHeight="1">
      <c r="B575" s="22"/>
      <c r="C575" s="22"/>
      <c r="D575" s="22"/>
      <c r="E575" s="22"/>
      <c r="F575" s="22"/>
      <c r="G575" s="22"/>
      <c r="H575" s="22"/>
      <c r="I575" s="22"/>
      <c r="J575" s="22"/>
      <c r="K575" s="22"/>
      <c r="L575" s="22"/>
      <c r="M575" s="22"/>
    </row>
    <row r="576" spans="2:13" ht="15.75" customHeight="1">
      <c r="B576" s="22"/>
      <c r="C576" s="22"/>
      <c r="D576" s="22"/>
      <c r="E576" s="22"/>
      <c r="F576" s="22"/>
      <c r="G576" s="22"/>
      <c r="H576" s="22"/>
      <c r="I576" s="22"/>
      <c r="J576" s="22"/>
      <c r="K576" s="22"/>
      <c r="L576" s="22"/>
      <c r="M576" s="22"/>
    </row>
    <row r="577" spans="2:13" ht="15.75" customHeight="1">
      <c r="B577" s="22"/>
      <c r="C577" s="22"/>
      <c r="D577" s="22"/>
      <c r="E577" s="22"/>
      <c r="F577" s="22"/>
      <c r="G577" s="22"/>
      <c r="H577" s="22"/>
      <c r="I577" s="22"/>
      <c r="J577" s="22"/>
      <c r="K577" s="22"/>
      <c r="L577" s="22"/>
      <c r="M577" s="22"/>
    </row>
    <row r="578" spans="2:13" ht="15.75" customHeight="1">
      <c r="B578" s="22"/>
      <c r="C578" s="22"/>
      <c r="D578" s="22"/>
      <c r="E578" s="22"/>
      <c r="F578" s="22"/>
      <c r="G578" s="22"/>
      <c r="H578" s="22"/>
      <c r="I578" s="22"/>
      <c r="J578" s="22"/>
      <c r="K578" s="22"/>
      <c r="L578" s="22"/>
      <c r="M578" s="22"/>
    </row>
    <row r="579" spans="2:13" ht="15.75" customHeight="1">
      <c r="B579" s="22"/>
      <c r="C579" s="22"/>
      <c r="D579" s="22"/>
      <c r="E579" s="22"/>
      <c r="F579" s="22"/>
      <c r="G579" s="22"/>
      <c r="H579" s="22"/>
      <c r="I579" s="22"/>
      <c r="J579" s="22"/>
      <c r="K579" s="22"/>
      <c r="L579" s="22"/>
      <c r="M579" s="22"/>
    </row>
    <row r="580" spans="2:13" ht="15.75" customHeight="1">
      <c r="B580" s="22"/>
      <c r="C580" s="22"/>
      <c r="D580" s="22"/>
      <c r="E580" s="22"/>
      <c r="F580" s="22"/>
      <c r="G580" s="22"/>
      <c r="H580" s="22"/>
      <c r="I580" s="22"/>
      <c r="J580" s="22"/>
      <c r="K580" s="22"/>
      <c r="L580" s="22"/>
      <c r="M580" s="22"/>
    </row>
    <row r="581" spans="2:13" ht="15.75" customHeight="1">
      <c r="B581" s="22"/>
      <c r="C581" s="22"/>
      <c r="D581" s="22"/>
      <c r="E581" s="22"/>
      <c r="F581" s="22"/>
      <c r="G581" s="22"/>
      <c r="H581" s="22"/>
      <c r="I581" s="22"/>
      <c r="J581" s="22"/>
      <c r="K581" s="22"/>
      <c r="L581" s="22"/>
      <c r="M581" s="22"/>
    </row>
    <row r="582" spans="2:13" ht="15.75" customHeight="1">
      <c r="B582" s="22"/>
      <c r="C582" s="22"/>
      <c r="D582" s="22"/>
      <c r="E582" s="22"/>
      <c r="F582" s="22"/>
      <c r="G582" s="22"/>
      <c r="H582" s="22"/>
      <c r="I582" s="22"/>
      <c r="J582" s="22"/>
      <c r="K582" s="22"/>
      <c r="L582" s="22"/>
      <c r="M582" s="22"/>
    </row>
    <row r="583" spans="2:13" ht="15.75" customHeight="1">
      <c r="B583" s="22"/>
      <c r="C583" s="22"/>
      <c r="D583" s="22"/>
      <c r="E583" s="22"/>
      <c r="F583" s="22"/>
      <c r="G583" s="22"/>
      <c r="H583" s="22"/>
      <c r="I583" s="22"/>
      <c r="J583" s="22"/>
      <c r="K583" s="22"/>
      <c r="L583" s="22"/>
      <c r="M583" s="22"/>
    </row>
    <row r="584" spans="2:13" ht="15.75" customHeight="1">
      <c r="B584" s="22"/>
      <c r="C584" s="22"/>
      <c r="D584" s="22"/>
      <c r="E584" s="22"/>
      <c r="F584" s="22"/>
      <c r="G584" s="22"/>
      <c r="H584" s="22"/>
      <c r="I584" s="22"/>
      <c r="J584" s="22"/>
      <c r="K584" s="22"/>
      <c r="L584" s="22"/>
      <c r="M584" s="22"/>
    </row>
    <row r="585" spans="2:13" ht="15.75" customHeight="1">
      <c r="B585" s="22"/>
      <c r="C585" s="22"/>
      <c r="D585" s="22"/>
      <c r="E585" s="22"/>
      <c r="F585" s="22"/>
      <c r="G585" s="22"/>
      <c r="H585" s="22"/>
      <c r="I585" s="22"/>
      <c r="J585" s="22"/>
      <c r="K585" s="22"/>
      <c r="L585" s="22"/>
      <c r="M585" s="22"/>
    </row>
    <row r="586" spans="2:13" ht="15.75" customHeight="1">
      <c r="B586" s="22"/>
      <c r="C586" s="22"/>
      <c r="D586" s="22"/>
      <c r="E586" s="22"/>
      <c r="F586" s="22"/>
      <c r="G586" s="22"/>
      <c r="H586" s="22"/>
      <c r="I586" s="22"/>
      <c r="J586" s="22"/>
      <c r="K586" s="22"/>
      <c r="L586" s="22"/>
      <c r="M586" s="22"/>
    </row>
    <row r="587" spans="2:13" ht="15.75" customHeight="1">
      <c r="B587" s="22"/>
      <c r="C587" s="22"/>
      <c r="D587" s="22"/>
      <c r="E587" s="22"/>
      <c r="F587" s="22"/>
      <c r="G587" s="22"/>
      <c r="H587" s="22"/>
      <c r="I587" s="22"/>
      <c r="J587" s="22"/>
      <c r="K587" s="22"/>
      <c r="L587" s="22"/>
      <c r="M587" s="22"/>
    </row>
    <row r="588" spans="2:13" ht="15.75" customHeight="1">
      <c r="B588" s="22"/>
      <c r="C588" s="22"/>
      <c r="D588" s="22"/>
      <c r="E588" s="22"/>
      <c r="F588" s="22"/>
      <c r="G588" s="22"/>
      <c r="H588" s="22"/>
      <c r="I588" s="22"/>
      <c r="J588" s="22"/>
      <c r="K588" s="22"/>
      <c r="L588" s="22"/>
      <c r="M588" s="22"/>
    </row>
    <row r="589" spans="2:13" ht="15.75" customHeight="1">
      <c r="B589" s="22"/>
      <c r="C589" s="22"/>
      <c r="D589" s="22"/>
      <c r="E589" s="22"/>
      <c r="F589" s="22"/>
      <c r="G589" s="22"/>
      <c r="H589" s="22"/>
      <c r="I589" s="22"/>
      <c r="J589" s="22"/>
      <c r="K589" s="22"/>
      <c r="L589" s="22"/>
      <c r="M589" s="22"/>
    </row>
    <row r="590" spans="2:13" ht="15.75" customHeight="1">
      <c r="B590" s="22"/>
      <c r="C590" s="22"/>
      <c r="D590" s="22"/>
      <c r="E590" s="22"/>
      <c r="F590" s="22"/>
      <c r="G590" s="22"/>
      <c r="H590" s="22"/>
      <c r="I590" s="22"/>
      <c r="J590" s="22"/>
      <c r="K590" s="22"/>
      <c r="L590" s="22"/>
      <c r="M590" s="22"/>
    </row>
    <row r="591" spans="2:13" ht="15.75" customHeight="1">
      <c r="B591" s="22"/>
      <c r="C591" s="22"/>
      <c r="D591" s="22"/>
      <c r="E591" s="22"/>
      <c r="F591" s="22"/>
      <c r="G591" s="22"/>
      <c r="H591" s="22"/>
      <c r="I591" s="22"/>
      <c r="J591" s="22"/>
      <c r="K591" s="22"/>
      <c r="L591" s="22"/>
      <c r="M591" s="22"/>
    </row>
    <row r="592" spans="2:13" ht="15.75" customHeight="1">
      <c r="B592" s="22"/>
      <c r="C592" s="22"/>
      <c r="D592" s="22"/>
      <c r="E592" s="22"/>
      <c r="F592" s="22"/>
      <c r="G592" s="22"/>
      <c r="H592" s="22"/>
      <c r="I592" s="22"/>
      <c r="J592" s="22"/>
      <c r="K592" s="22"/>
      <c r="L592" s="22"/>
      <c r="M592" s="22"/>
    </row>
    <row r="593" spans="2:13" ht="15.75" customHeight="1">
      <c r="B593" s="22"/>
      <c r="C593" s="22"/>
      <c r="D593" s="22"/>
      <c r="E593" s="22"/>
      <c r="F593" s="22"/>
      <c r="G593" s="22"/>
      <c r="H593" s="22"/>
      <c r="I593" s="22"/>
      <c r="J593" s="22"/>
      <c r="K593" s="22"/>
      <c r="L593" s="22"/>
      <c r="M593" s="22"/>
    </row>
    <row r="594" spans="2:13" ht="15.75" customHeight="1">
      <c r="B594" s="22"/>
      <c r="C594" s="22"/>
      <c r="D594" s="22"/>
      <c r="E594" s="22"/>
      <c r="F594" s="22"/>
      <c r="G594" s="22"/>
      <c r="H594" s="22"/>
      <c r="I594" s="22"/>
      <c r="J594" s="22"/>
      <c r="K594" s="22"/>
      <c r="L594" s="22"/>
      <c r="M594" s="22"/>
    </row>
    <row r="595" spans="2:13" ht="15.75" customHeight="1">
      <c r="B595" s="22"/>
      <c r="C595" s="22"/>
      <c r="D595" s="22"/>
      <c r="E595" s="22"/>
      <c r="F595" s="22"/>
      <c r="G595" s="22"/>
      <c r="H595" s="22"/>
      <c r="I595" s="22"/>
      <c r="J595" s="22"/>
      <c r="K595" s="22"/>
      <c r="L595" s="22"/>
      <c r="M595" s="22"/>
    </row>
    <row r="596" spans="2:13" ht="15.75" customHeight="1">
      <c r="B596" s="22"/>
      <c r="C596" s="22"/>
      <c r="D596" s="22"/>
      <c r="E596" s="22"/>
      <c r="F596" s="22"/>
      <c r="G596" s="22"/>
      <c r="H596" s="22"/>
      <c r="I596" s="22"/>
      <c r="J596" s="22"/>
      <c r="K596" s="22"/>
      <c r="L596" s="22"/>
      <c r="M596" s="22"/>
    </row>
    <row r="597" spans="2:13" ht="15.75" customHeight="1">
      <c r="B597" s="22"/>
      <c r="C597" s="22"/>
      <c r="D597" s="22"/>
      <c r="E597" s="22"/>
      <c r="F597" s="22"/>
      <c r="G597" s="22"/>
      <c r="H597" s="22"/>
      <c r="I597" s="22"/>
      <c r="J597" s="22"/>
      <c r="K597" s="22"/>
      <c r="L597" s="22"/>
      <c r="M597" s="22"/>
    </row>
    <row r="598" spans="2:13" ht="15.75" customHeight="1">
      <c r="B598" s="22"/>
      <c r="C598" s="22"/>
      <c r="D598" s="22"/>
      <c r="E598" s="22"/>
      <c r="F598" s="22"/>
      <c r="G598" s="22"/>
      <c r="H598" s="22"/>
      <c r="I598" s="22"/>
      <c r="J598" s="22"/>
      <c r="K598" s="22"/>
      <c r="L598" s="22"/>
      <c r="M598" s="22"/>
    </row>
    <row r="599" spans="2:13" ht="15.75" customHeight="1">
      <c r="B599" s="22"/>
      <c r="C599" s="22"/>
      <c r="D599" s="22"/>
      <c r="E599" s="22"/>
      <c r="F599" s="22"/>
      <c r="G599" s="22"/>
      <c r="H599" s="22"/>
      <c r="I599" s="22"/>
      <c r="J599" s="22"/>
      <c r="K599" s="22"/>
      <c r="L599" s="22"/>
      <c r="M599" s="22"/>
    </row>
    <row r="600" spans="2:13" ht="15.75" customHeight="1">
      <c r="B600" s="22"/>
      <c r="C600" s="22"/>
      <c r="D600" s="22"/>
      <c r="E600" s="22"/>
      <c r="F600" s="22"/>
      <c r="G600" s="22"/>
      <c r="H600" s="22"/>
      <c r="I600" s="22"/>
      <c r="J600" s="22"/>
      <c r="K600" s="22"/>
      <c r="L600" s="22"/>
      <c r="M600" s="22"/>
    </row>
    <row r="601" spans="2:13" ht="15.75" customHeight="1">
      <c r="B601" s="22"/>
      <c r="C601" s="22"/>
      <c r="D601" s="22"/>
      <c r="E601" s="22"/>
      <c r="F601" s="22"/>
      <c r="G601" s="22"/>
      <c r="H601" s="22"/>
      <c r="I601" s="22"/>
      <c r="J601" s="22"/>
      <c r="K601" s="22"/>
      <c r="L601" s="22"/>
      <c r="M601" s="22"/>
    </row>
    <row r="602" spans="2:13" ht="15.75" customHeight="1">
      <c r="B602" s="22"/>
      <c r="C602" s="22"/>
      <c r="D602" s="22"/>
      <c r="E602" s="22"/>
      <c r="F602" s="22"/>
      <c r="G602" s="22"/>
      <c r="H602" s="22"/>
      <c r="I602" s="22"/>
      <c r="J602" s="22"/>
      <c r="K602" s="22"/>
      <c r="L602" s="22"/>
      <c r="M602" s="22"/>
    </row>
    <row r="603" spans="2:13" ht="15.75" customHeight="1">
      <c r="B603" s="22"/>
      <c r="C603" s="22"/>
      <c r="D603" s="22"/>
      <c r="E603" s="22"/>
      <c r="F603" s="22"/>
      <c r="G603" s="22"/>
      <c r="H603" s="22"/>
      <c r="I603" s="22"/>
      <c r="J603" s="22"/>
      <c r="K603" s="22"/>
      <c r="L603" s="22"/>
      <c r="M603" s="22"/>
    </row>
    <row r="604" spans="2:13" ht="15.75" customHeight="1">
      <c r="B604" s="22"/>
      <c r="C604" s="22"/>
      <c r="D604" s="22"/>
      <c r="E604" s="22"/>
      <c r="F604" s="22"/>
      <c r="G604" s="22"/>
      <c r="H604" s="22"/>
      <c r="I604" s="22"/>
      <c r="J604" s="22"/>
      <c r="K604" s="22"/>
      <c r="L604" s="22"/>
      <c r="M604" s="22"/>
    </row>
    <row r="605" spans="2:13" ht="15.75" customHeight="1">
      <c r="B605" s="22"/>
      <c r="C605" s="22"/>
      <c r="D605" s="22"/>
      <c r="E605" s="22"/>
      <c r="F605" s="22"/>
      <c r="G605" s="22"/>
      <c r="H605" s="22"/>
      <c r="I605" s="22"/>
      <c r="J605" s="22"/>
      <c r="K605" s="22"/>
      <c r="L605" s="22"/>
      <c r="M605" s="22"/>
    </row>
    <row r="606" spans="2:13" ht="15.75" customHeight="1">
      <c r="B606" s="22"/>
      <c r="C606" s="22"/>
      <c r="D606" s="22"/>
      <c r="E606" s="22"/>
      <c r="F606" s="22"/>
      <c r="G606" s="22"/>
      <c r="H606" s="22"/>
      <c r="I606" s="22"/>
      <c r="J606" s="22"/>
      <c r="K606" s="22"/>
      <c r="L606" s="22"/>
      <c r="M606" s="22"/>
    </row>
    <row r="607" spans="2:13" ht="15.75" customHeight="1">
      <c r="B607" s="22"/>
      <c r="C607" s="22"/>
      <c r="D607" s="22"/>
      <c r="E607" s="22"/>
      <c r="F607" s="22"/>
      <c r="G607" s="22"/>
      <c r="H607" s="22"/>
      <c r="I607" s="22"/>
      <c r="J607" s="22"/>
      <c r="K607" s="22"/>
      <c r="L607" s="22"/>
      <c r="M607" s="22"/>
    </row>
    <row r="608" spans="2:13" ht="15.75" customHeight="1">
      <c r="B608" s="22"/>
      <c r="C608" s="22"/>
      <c r="D608" s="22"/>
      <c r="E608" s="22"/>
      <c r="F608" s="22"/>
      <c r="G608" s="22"/>
      <c r="H608" s="22"/>
      <c r="I608" s="22"/>
      <c r="J608" s="22"/>
      <c r="K608" s="22"/>
      <c r="L608" s="22"/>
      <c r="M608" s="22"/>
    </row>
    <row r="609" spans="2:13" ht="15.75" customHeight="1">
      <c r="B609" s="22"/>
      <c r="C609" s="22"/>
      <c r="D609" s="22"/>
      <c r="E609" s="22"/>
      <c r="F609" s="22"/>
      <c r="G609" s="22"/>
      <c r="H609" s="22"/>
      <c r="I609" s="22"/>
      <c r="J609" s="22"/>
      <c r="K609" s="22"/>
      <c r="L609" s="22"/>
      <c r="M609" s="22"/>
    </row>
    <row r="610" spans="2:13" ht="15.75" customHeight="1">
      <c r="B610" s="22"/>
      <c r="C610" s="22"/>
      <c r="D610" s="22"/>
      <c r="E610" s="22"/>
      <c r="F610" s="22"/>
      <c r="G610" s="22"/>
      <c r="H610" s="22"/>
      <c r="I610" s="22"/>
      <c r="J610" s="22"/>
      <c r="K610" s="22"/>
      <c r="L610" s="22"/>
      <c r="M610" s="22"/>
    </row>
    <row r="611" spans="2:13" ht="15.75" customHeight="1">
      <c r="B611" s="22"/>
      <c r="C611" s="22"/>
      <c r="D611" s="22"/>
      <c r="E611" s="22"/>
      <c r="F611" s="22"/>
      <c r="G611" s="22"/>
      <c r="H611" s="22"/>
      <c r="I611" s="22"/>
      <c r="J611" s="22"/>
      <c r="K611" s="22"/>
      <c r="L611" s="22"/>
      <c r="M611" s="22"/>
    </row>
    <row r="612" spans="2:13" ht="15.75" customHeight="1">
      <c r="B612" s="22"/>
      <c r="C612" s="22"/>
      <c r="D612" s="22"/>
      <c r="E612" s="22"/>
      <c r="F612" s="22"/>
      <c r="G612" s="22"/>
      <c r="H612" s="22"/>
      <c r="I612" s="22"/>
      <c r="J612" s="22"/>
      <c r="K612" s="22"/>
      <c r="L612" s="22"/>
      <c r="M612" s="22"/>
    </row>
    <row r="613" spans="2:13" ht="15.75" customHeight="1">
      <c r="B613" s="22"/>
      <c r="C613" s="22"/>
      <c r="D613" s="22"/>
      <c r="E613" s="22"/>
      <c r="F613" s="22"/>
      <c r="G613" s="22"/>
      <c r="H613" s="22"/>
      <c r="I613" s="22"/>
      <c r="J613" s="22"/>
      <c r="K613" s="22"/>
      <c r="L613" s="22"/>
      <c r="M613" s="22"/>
    </row>
    <row r="614" spans="2:13" ht="15.75" customHeight="1">
      <c r="B614" s="22"/>
      <c r="C614" s="22"/>
      <c r="D614" s="22"/>
      <c r="E614" s="22"/>
      <c r="F614" s="22"/>
      <c r="G614" s="22"/>
      <c r="H614" s="22"/>
      <c r="I614" s="22"/>
      <c r="J614" s="22"/>
      <c r="K614" s="22"/>
      <c r="L614" s="22"/>
      <c r="M614" s="22"/>
    </row>
    <row r="615" spans="2:13" ht="15.75" customHeight="1">
      <c r="B615" s="22"/>
      <c r="C615" s="22"/>
      <c r="D615" s="22"/>
      <c r="E615" s="22"/>
      <c r="F615" s="22"/>
      <c r="G615" s="22"/>
      <c r="H615" s="22"/>
      <c r="I615" s="22"/>
      <c r="J615" s="22"/>
      <c r="K615" s="22"/>
      <c r="L615" s="22"/>
      <c r="M615" s="22"/>
    </row>
    <row r="616" spans="2:13" ht="15.75" customHeight="1">
      <c r="B616" s="22"/>
      <c r="C616" s="22"/>
      <c r="D616" s="22"/>
      <c r="E616" s="22"/>
      <c r="F616" s="22"/>
      <c r="G616" s="22"/>
      <c r="H616" s="22"/>
      <c r="I616" s="22"/>
      <c r="J616" s="22"/>
      <c r="K616" s="22"/>
      <c r="L616" s="22"/>
      <c r="M616" s="22"/>
    </row>
    <row r="617" spans="2:13" ht="15.75" customHeight="1">
      <c r="B617" s="22"/>
      <c r="C617" s="22"/>
      <c r="D617" s="22"/>
      <c r="E617" s="22"/>
      <c r="F617" s="22"/>
      <c r="G617" s="22"/>
      <c r="H617" s="22"/>
      <c r="I617" s="22"/>
      <c r="J617" s="22"/>
      <c r="K617" s="22"/>
      <c r="L617" s="22"/>
      <c r="M617" s="22"/>
    </row>
    <row r="618" spans="2:13" ht="15.75" customHeight="1">
      <c r="B618" s="22"/>
      <c r="C618" s="22"/>
      <c r="D618" s="22"/>
      <c r="E618" s="22"/>
      <c r="F618" s="22"/>
      <c r="G618" s="22"/>
      <c r="H618" s="22"/>
      <c r="I618" s="22"/>
      <c r="J618" s="22"/>
      <c r="K618" s="22"/>
      <c r="L618" s="22"/>
      <c r="M618" s="22"/>
    </row>
    <row r="619" spans="2:13" ht="15.75" customHeight="1">
      <c r="B619" s="22"/>
      <c r="C619" s="22"/>
      <c r="D619" s="22"/>
      <c r="E619" s="22"/>
      <c r="F619" s="22"/>
      <c r="G619" s="22"/>
      <c r="H619" s="22"/>
      <c r="I619" s="22"/>
      <c r="J619" s="22"/>
      <c r="K619" s="22"/>
      <c r="L619" s="22"/>
      <c r="M619" s="22"/>
    </row>
    <row r="620" spans="2:13" ht="15.75" customHeight="1">
      <c r="B620" s="22"/>
      <c r="C620" s="22"/>
      <c r="D620" s="22"/>
      <c r="E620" s="22"/>
      <c r="F620" s="22"/>
      <c r="G620" s="22"/>
      <c r="H620" s="22"/>
      <c r="I620" s="22"/>
      <c r="J620" s="22"/>
      <c r="K620" s="22"/>
      <c r="L620" s="22"/>
      <c r="M620" s="22"/>
    </row>
    <row r="621" spans="2:13" ht="15.75" customHeight="1">
      <c r="D621" s="22"/>
      <c r="E621" s="22"/>
      <c r="F621" s="22"/>
      <c r="G621" s="22"/>
      <c r="H621" s="22"/>
      <c r="I621" s="22"/>
      <c r="J621" s="22"/>
      <c r="K621" s="22"/>
      <c r="L621" s="22"/>
      <c r="M621" s="22"/>
    </row>
    <row r="622" spans="2:13" ht="15.75" customHeight="1">
      <c r="D622" s="22"/>
      <c r="E622" s="22"/>
      <c r="F622" s="22"/>
      <c r="G622" s="22"/>
      <c r="H622" s="22"/>
      <c r="I622" s="22"/>
      <c r="J622" s="22"/>
      <c r="K622" s="22"/>
      <c r="L622" s="22"/>
      <c r="M622" s="22"/>
    </row>
    <row r="623" spans="2:13" ht="15.75" customHeight="1">
      <c r="D623" s="22"/>
      <c r="E623" s="22"/>
      <c r="F623" s="22"/>
      <c r="G623" s="22"/>
      <c r="H623" s="22"/>
      <c r="I623" s="22"/>
      <c r="J623" s="22"/>
      <c r="K623" s="22"/>
      <c r="L623" s="22"/>
      <c r="M623" s="22"/>
    </row>
  </sheetData>
  <mergeCells count="33">
    <mergeCell ref="D68:K72"/>
    <mergeCell ref="C10:K13"/>
    <mergeCell ref="C21:K26"/>
    <mergeCell ref="C36:K38"/>
    <mergeCell ref="C40:K41"/>
    <mergeCell ref="C43:K43"/>
    <mergeCell ref="C15:K15"/>
    <mergeCell ref="C47:K50"/>
    <mergeCell ref="D316:K317"/>
    <mergeCell ref="C188:K189"/>
    <mergeCell ref="C128:K130"/>
    <mergeCell ref="C132:D132"/>
    <mergeCell ref="C134:K135"/>
    <mergeCell ref="I303:K303"/>
    <mergeCell ref="C137:K138"/>
    <mergeCell ref="C140:K142"/>
    <mergeCell ref="C144:K146"/>
    <mergeCell ref="D76:K81"/>
    <mergeCell ref="C60:K64"/>
    <mergeCell ref="D83:K88"/>
    <mergeCell ref="D92:K95"/>
    <mergeCell ref="D97:K101"/>
    <mergeCell ref="C54:K56"/>
    <mergeCell ref="C126:D126"/>
    <mergeCell ref="D314:G314"/>
    <mergeCell ref="D103:K109"/>
    <mergeCell ref="C156:K159"/>
    <mergeCell ref="C169:K176"/>
    <mergeCell ref="C229:K231"/>
    <mergeCell ref="C309:K310"/>
    <mergeCell ref="D119:K120"/>
    <mergeCell ref="C177:K182"/>
    <mergeCell ref="C183:K184"/>
  </mergeCells>
  <pageMargins left="0.93" right="0.26" top="0.59" bottom="0.5" header="0.5" footer="0.38"/>
  <pageSetup paperSize="9" orientation="portrait" r:id="rId1"/>
  <headerFooter alignWithMargins="0"/>
  <rowBreaks count="6" manualBreakCount="6">
    <brk id="57" min="1" max="11" man="1"/>
    <brk id="108" min="1" max="11" man="1"/>
    <brk id="146" min="1" max="11" man="1"/>
    <brk id="189" min="1" max="11" man="1"/>
    <brk id="238" min="1" max="11" man="1"/>
    <brk id="290" min="1" max="11"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J25"/>
  <sheetViews>
    <sheetView workbookViewId="0">
      <selection activeCell="D11" sqref="D11"/>
    </sheetView>
  </sheetViews>
  <sheetFormatPr defaultRowHeight="15.75"/>
  <cols>
    <col min="1" max="1" width="1.77734375" style="3" customWidth="1"/>
    <col min="2" max="2" width="4.44140625" style="3" customWidth="1"/>
    <col min="3" max="3" width="17" style="3" customWidth="1"/>
    <col min="4" max="4" width="5.44140625" style="3" customWidth="1"/>
    <col min="5" max="5" width="11.44140625" style="3" bestFit="1" customWidth="1"/>
    <col min="6" max="6" width="2.77734375" style="3" customWidth="1"/>
    <col min="7" max="7" width="12.33203125" style="3" bestFit="1" customWidth="1"/>
    <col min="8" max="8" width="3.5546875" style="3" customWidth="1"/>
    <col min="9" max="9" width="12.6640625" style="3" bestFit="1" customWidth="1"/>
    <col min="10" max="16384" width="8.88671875" style="3"/>
  </cols>
  <sheetData>
    <row r="2" spans="2:10">
      <c r="B2" s="3" t="s">
        <v>4</v>
      </c>
    </row>
    <row r="4" spans="2:10">
      <c r="B4" s="3" t="s">
        <v>224</v>
      </c>
    </row>
    <row r="7" spans="2:10" s="2" customFormat="1" ht="49.5">
      <c r="E7" s="152" t="s">
        <v>223</v>
      </c>
      <c r="G7" s="152" t="s">
        <v>222</v>
      </c>
      <c r="I7" s="2" t="s">
        <v>221</v>
      </c>
    </row>
    <row r="9" spans="2:10" ht="16.5">
      <c r="B9" s="151" t="s">
        <v>220</v>
      </c>
    </row>
    <row r="11" spans="2:10">
      <c r="B11" s="3">
        <f>1</f>
        <v>1</v>
      </c>
      <c r="C11" s="3" t="s">
        <v>215</v>
      </c>
      <c r="E11" s="126">
        <f>7182045.49</f>
        <v>7182045.4900000002</v>
      </c>
      <c r="F11" s="126"/>
      <c r="G11" s="126">
        <f>-2970448.59</f>
        <v>-2970448.59</v>
      </c>
      <c r="H11" s="126"/>
      <c r="I11" s="126">
        <f>E11-G11</f>
        <v>10152494.08</v>
      </c>
      <c r="J11" s="126"/>
    </row>
    <row r="12" spans="2:10">
      <c r="B12" s="3">
        <f>B11+1</f>
        <v>2</v>
      </c>
      <c r="C12" s="3" t="s">
        <v>219</v>
      </c>
      <c r="E12" s="126">
        <v>486431.85</v>
      </c>
      <c r="F12" s="126"/>
      <c r="G12" s="126">
        <v>2486431.85</v>
      </c>
      <c r="H12" s="126"/>
      <c r="I12" s="126">
        <f>E12-G12</f>
        <v>-2000000</v>
      </c>
      <c r="J12" s="126"/>
    </row>
    <row r="13" spans="2:10">
      <c r="B13" s="3">
        <f>B12+1</f>
        <v>3</v>
      </c>
      <c r="C13" s="3" t="s">
        <v>218</v>
      </c>
      <c r="E13" s="126">
        <v>2000000</v>
      </c>
      <c r="F13" s="126"/>
      <c r="G13" s="126">
        <v>0</v>
      </c>
      <c r="H13" s="126"/>
      <c r="I13" s="126">
        <f>E13-G13</f>
        <v>2000000</v>
      </c>
      <c r="J13" s="126"/>
    </row>
    <row r="14" spans="2:10">
      <c r="B14" s="3">
        <f>B13+1</f>
        <v>4</v>
      </c>
      <c r="C14" s="3" t="s">
        <v>217</v>
      </c>
      <c r="E14" s="150">
        <v>50413.33</v>
      </c>
      <c r="F14" s="126"/>
      <c r="G14" s="150">
        <v>10202907.41</v>
      </c>
      <c r="H14" s="126"/>
      <c r="I14" s="150">
        <f>E14-G14</f>
        <v>-10152494.08</v>
      </c>
      <c r="J14" s="126"/>
    </row>
    <row r="15" spans="2:10" s="2" customFormat="1" ht="16.5">
      <c r="E15" s="149">
        <f>SUM(E11:E14)</f>
        <v>9718890.6699999999</v>
      </c>
      <c r="F15" s="149"/>
      <c r="G15" s="149">
        <f>SUM(G11:G14)</f>
        <v>9718890.6699999999</v>
      </c>
      <c r="H15" s="149"/>
      <c r="I15" s="149">
        <f>SUM(I11:I14)</f>
        <v>0</v>
      </c>
      <c r="J15" s="149"/>
    </row>
    <row r="16" spans="2:10">
      <c r="E16" s="126"/>
      <c r="F16" s="126"/>
      <c r="G16" s="126"/>
      <c r="H16" s="126"/>
      <c r="I16" s="126"/>
      <c r="J16" s="126"/>
    </row>
    <row r="17" spans="2:10" ht="16.5">
      <c r="B17" s="151" t="s">
        <v>216</v>
      </c>
      <c r="E17" s="126"/>
      <c r="F17" s="126"/>
      <c r="G17" s="126"/>
      <c r="H17" s="126"/>
      <c r="I17" s="126"/>
      <c r="J17" s="126"/>
    </row>
    <row r="18" spans="2:10">
      <c r="E18" s="126"/>
      <c r="F18" s="126"/>
      <c r="G18" s="126"/>
      <c r="H18" s="126"/>
      <c r="I18" s="126"/>
      <c r="J18" s="126"/>
    </row>
    <row r="19" spans="2:10">
      <c r="B19" s="3">
        <f>1</f>
        <v>1</v>
      </c>
      <c r="C19" s="3" t="s">
        <v>215</v>
      </c>
      <c r="E19" s="126">
        <v>0</v>
      </c>
      <c r="F19" s="126"/>
      <c r="G19" s="126">
        <f>2970448.59</f>
        <v>2970448.59</v>
      </c>
      <c r="H19" s="126"/>
      <c r="I19" s="126">
        <f>E19-G19</f>
        <v>-2970448.59</v>
      </c>
      <c r="J19" s="126"/>
    </row>
    <row r="20" spans="2:10">
      <c r="B20" s="3">
        <f>B19+1</f>
        <v>2</v>
      </c>
      <c r="C20" s="3" t="s">
        <v>214</v>
      </c>
      <c r="E20" s="150">
        <v>21364.240000000002</v>
      </c>
      <c r="F20" s="126"/>
      <c r="G20" s="150">
        <v>0</v>
      </c>
      <c r="H20" s="126"/>
      <c r="I20" s="150">
        <f>E20-G20</f>
        <v>21364.240000000002</v>
      </c>
      <c r="J20" s="126"/>
    </row>
    <row r="21" spans="2:10" s="2" customFormat="1" ht="16.5">
      <c r="E21" s="149">
        <f>SUM(E19:E20)</f>
        <v>21364.240000000002</v>
      </c>
      <c r="F21" s="149"/>
      <c r="G21" s="149">
        <f>SUM(G19:G20)</f>
        <v>2970448.59</v>
      </c>
      <c r="H21" s="149"/>
      <c r="I21" s="149">
        <f>SUM(I19:I20)</f>
        <v>-2949084.3499999996</v>
      </c>
      <c r="J21" s="149"/>
    </row>
    <row r="22" spans="2:10">
      <c r="E22" s="126"/>
      <c r="F22" s="126"/>
      <c r="G22" s="126"/>
      <c r="H22" s="126"/>
      <c r="I22" s="126"/>
      <c r="J22" s="126"/>
    </row>
    <row r="23" spans="2:10">
      <c r="E23" s="126"/>
      <c r="F23" s="126"/>
      <c r="G23" s="126"/>
      <c r="H23" s="126"/>
      <c r="I23" s="126"/>
      <c r="J23" s="126"/>
    </row>
    <row r="24" spans="2:10">
      <c r="E24" s="126"/>
      <c r="F24" s="126"/>
      <c r="G24" s="126"/>
      <c r="H24" s="126"/>
      <c r="I24" s="126"/>
      <c r="J24" s="126"/>
    </row>
    <row r="25" spans="2:10">
      <c r="E25" s="126"/>
      <c r="F25" s="126"/>
      <c r="G25" s="126"/>
      <c r="H25" s="126"/>
      <c r="I25" s="126"/>
      <c r="J25" s="126"/>
    </row>
  </sheetData>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I20"/>
  <sheetViews>
    <sheetView workbookViewId="0">
      <selection activeCell="G19" sqref="G19"/>
    </sheetView>
  </sheetViews>
  <sheetFormatPr defaultRowHeight="15.75"/>
  <cols>
    <col min="1" max="1" width="3.44140625" style="3" customWidth="1"/>
    <col min="2" max="2" width="3.5546875" style="3" customWidth="1"/>
    <col min="3" max="7" width="8.88671875" style="3"/>
    <col min="8" max="8" width="5.77734375" style="3" customWidth="1"/>
    <col min="9" max="16384" width="8.88671875" style="3"/>
  </cols>
  <sheetData>
    <row r="4" spans="2:9" ht="16.5">
      <c r="B4" s="2" t="str">
        <f>'Balance Sheet'!B3:N3</f>
        <v>ARIF LATIF SECURITIES (PVT) LIMITED</v>
      </c>
    </row>
    <row r="8" spans="2:9" s="2" customFormat="1" ht="16.5">
      <c r="G8" s="301" t="s">
        <v>208</v>
      </c>
      <c r="H8" s="12"/>
      <c r="I8" s="301" t="s">
        <v>45</v>
      </c>
    </row>
    <row r="10" spans="2:9">
      <c r="C10" s="3" t="s">
        <v>138</v>
      </c>
      <c r="F10" s="3" t="s">
        <v>385</v>
      </c>
      <c r="G10" s="3">
        <f>I16</f>
        <v>1758045</v>
      </c>
      <c r="I10" s="302">
        <v>0</v>
      </c>
    </row>
    <row r="12" spans="2:9">
      <c r="C12" s="3" t="s">
        <v>383</v>
      </c>
      <c r="F12" s="3" t="s">
        <v>386</v>
      </c>
      <c r="G12" s="3">
        <f>337590</f>
        <v>337590</v>
      </c>
      <c r="I12" s="3">
        <v>337590</v>
      </c>
    </row>
    <row r="14" spans="2:9">
      <c r="C14" s="3" t="s">
        <v>384</v>
      </c>
      <c r="F14" s="3" t="s">
        <v>387</v>
      </c>
      <c r="G14" s="302">
        <v>11.42</v>
      </c>
      <c r="H14" s="302"/>
      <c r="I14" s="302">
        <v>5.2076335199502353</v>
      </c>
    </row>
    <row r="16" spans="2:9" ht="17.25" thickBot="1">
      <c r="F16" s="3" t="s">
        <v>388</v>
      </c>
      <c r="G16" s="303">
        <f>G12*G14</f>
        <v>3855277.8</v>
      </c>
      <c r="H16" s="2"/>
      <c r="I16" s="303">
        <f>I12*I14</f>
        <v>1758045</v>
      </c>
    </row>
    <row r="18" spans="3:7">
      <c r="C18" s="482" t="s">
        <v>389</v>
      </c>
      <c r="D18" s="482"/>
      <c r="E18" s="482"/>
    </row>
    <row r="19" spans="3:7" ht="30.75" customHeight="1" thickBot="1">
      <c r="C19" s="482"/>
      <c r="D19" s="482"/>
      <c r="E19" s="482"/>
      <c r="F19" s="3" t="s">
        <v>390</v>
      </c>
      <c r="G19" s="304">
        <f>G16-G10</f>
        <v>2097232.7999999998</v>
      </c>
    </row>
    <row r="20" spans="3:7" ht="16.5" thickTop="1"/>
  </sheetData>
  <mergeCells count="1">
    <mergeCell ref="C18:E19"/>
  </mergeCell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rgb="FF00B050"/>
  </sheetPr>
  <dimension ref="B1:O155"/>
  <sheetViews>
    <sheetView defaultGridColor="0" view="pageBreakPreview" topLeftCell="A49" colorId="22" zoomScaleSheetLayoutView="100" workbookViewId="0">
      <selection activeCell="L55" sqref="L55"/>
    </sheetView>
  </sheetViews>
  <sheetFormatPr defaultColWidth="9.77734375" defaultRowHeight="15.75" customHeight="1"/>
  <cols>
    <col min="1" max="1" width="4.33203125" style="350" customWidth="1"/>
    <col min="2" max="2" width="4.77734375" style="350" customWidth="1"/>
    <col min="3" max="3" width="28.21875" style="350" customWidth="1"/>
    <col min="4" max="4" width="1.6640625" style="350" customWidth="1"/>
    <col min="5" max="5" width="7.77734375" style="350" customWidth="1"/>
    <col min="6" max="6" width="12.77734375" style="350" customWidth="1"/>
    <col min="7" max="7" width="1.109375" style="350" customWidth="1"/>
    <col min="8" max="8" width="12.77734375" style="350" customWidth="1"/>
    <col min="9" max="9" width="1.109375" style="350" customWidth="1"/>
    <col min="10" max="10" width="12.77734375" style="350" customWidth="1"/>
    <col min="11" max="11" width="0.88671875" style="350" customWidth="1"/>
    <col min="12" max="12" width="12.77734375" style="350" customWidth="1"/>
    <col min="13" max="13" width="1.44140625" style="350" customWidth="1"/>
    <col min="14" max="14" width="11.33203125" style="350" bestFit="1" customWidth="1"/>
    <col min="15" max="15" width="12.88671875" style="350" bestFit="1" customWidth="1"/>
    <col min="16" max="16384" width="9.77734375" style="350"/>
  </cols>
  <sheetData>
    <row r="1" spans="2:15" ht="15.75" customHeight="1">
      <c r="M1" s="351"/>
    </row>
    <row r="2" spans="2:15" ht="15.75" customHeight="1">
      <c r="B2" s="485" t="str">
        <f>'Balance Sheet'!B3:N3</f>
        <v>ARIF LATIF SECURITIES (PVT) LIMITED</v>
      </c>
      <c r="C2" s="485"/>
      <c r="D2" s="485"/>
      <c r="E2" s="485"/>
      <c r="F2" s="485"/>
      <c r="G2" s="485"/>
      <c r="H2" s="485"/>
      <c r="I2" s="485"/>
      <c r="J2" s="485"/>
      <c r="K2" s="485"/>
      <c r="L2" s="485"/>
    </row>
    <row r="3" spans="2:15" ht="15.75" customHeight="1">
      <c r="B3" s="485" t="s">
        <v>369</v>
      </c>
      <c r="C3" s="485"/>
      <c r="D3" s="485"/>
      <c r="E3" s="485"/>
      <c r="F3" s="485"/>
      <c r="G3" s="485"/>
      <c r="H3" s="485"/>
      <c r="I3" s="485"/>
      <c r="J3" s="485"/>
      <c r="K3" s="485"/>
      <c r="L3" s="485"/>
    </row>
    <row r="4" spans="2:15" ht="15.75" customHeight="1">
      <c r="B4" s="485" t="s">
        <v>518</v>
      </c>
      <c r="C4" s="485"/>
      <c r="D4" s="485"/>
      <c r="E4" s="485"/>
      <c r="F4" s="485"/>
      <c r="G4" s="485"/>
      <c r="H4" s="485"/>
      <c r="I4" s="485"/>
      <c r="J4" s="485"/>
      <c r="K4" s="485"/>
      <c r="L4" s="485"/>
    </row>
    <row r="5" spans="2:15" ht="3" customHeight="1">
      <c r="D5" s="353"/>
      <c r="E5" s="354"/>
      <c r="F5" s="355"/>
      <c r="G5" s="355"/>
      <c r="H5" s="355"/>
      <c r="I5" s="355"/>
      <c r="J5" s="355"/>
      <c r="K5" s="355"/>
      <c r="L5" s="354"/>
    </row>
    <row r="6" spans="2:15" ht="15.75" customHeight="1">
      <c r="D6" s="353"/>
      <c r="E6" s="356"/>
      <c r="F6" s="486" t="s">
        <v>519</v>
      </c>
      <c r="G6" s="486"/>
      <c r="H6" s="487" t="s">
        <v>370</v>
      </c>
      <c r="I6" s="356"/>
      <c r="J6" s="486" t="s">
        <v>520</v>
      </c>
      <c r="K6" s="353"/>
      <c r="L6" s="486" t="s">
        <v>42</v>
      </c>
    </row>
    <row r="7" spans="2:15" ht="15.75" customHeight="1">
      <c r="D7" s="353"/>
      <c r="E7" s="356"/>
      <c r="F7" s="486"/>
      <c r="G7" s="486"/>
      <c r="H7" s="487"/>
      <c r="I7" s="356"/>
      <c r="J7" s="486"/>
      <c r="K7" s="353"/>
      <c r="L7" s="486"/>
    </row>
    <row r="8" spans="2:15" ht="15.75" customHeight="1">
      <c r="B8" s="353"/>
      <c r="C8" s="353"/>
      <c r="D8" s="353"/>
      <c r="E8" s="357"/>
      <c r="F8" s="483" t="s">
        <v>521</v>
      </c>
      <c r="G8" s="483"/>
      <c r="H8" s="483"/>
      <c r="I8" s="483"/>
      <c r="J8" s="484"/>
      <c r="K8" s="484"/>
      <c r="L8" s="484"/>
    </row>
    <row r="9" spans="2:15" ht="2.25" customHeight="1">
      <c r="B9" s="353"/>
      <c r="C9" s="353"/>
      <c r="D9" s="353"/>
      <c r="E9" s="357"/>
      <c r="F9" s="358"/>
      <c r="G9" s="358"/>
      <c r="H9" s="358"/>
      <c r="I9" s="358"/>
      <c r="J9" s="359"/>
      <c r="K9" s="359"/>
      <c r="L9" s="359"/>
    </row>
    <row r="10" spans="2:15" ht="15.75" customHeight="1">
      <c r="B10" s="353" t="s">
        <v>522</v>
      </c>
      <c r="D10" s="353"/>
      <c r="E10" s="357"/>
      <c r="F10" s="360">
        <f>F12/L12</f>
        <v>0.12207245623787666</v>
      </c>
      <c r="G10" s="360">
        <f>G12/L12</f>
        <v>0</v>
      </c>
      <c r="H10" s="361">
        <f>H12/L12</f>
        <v>0.24434026563838598</v>
      </c>
      <c r="I10" s="360"/>
      <c r="J10" s="361">
        <f>J12/L12</f>
        <v>0.63358727812373727</v>
      </c>
      <c r="K10" s="359"/>
      <c r="L10" s="361">
        <v>1</v>
      </c>
    </row>
    <row r="11" spans="2:15" ht="7.5" customHeight="1">
      <c r="B11" s="353"/>
      <c r="C11" s="353"/>
      <c r="D11" s="353"/>
      <c r="E11" s="357"/>
    </row>
    <row r="12" spans="2:15" ht="15.75" customHeight="1">
      <c r="B12" s="353" t="s">
        <v>371</v>
      </c>
      <c r="D12" s="353"/>
      <c r="E12" s="357"/>
      <c r="F12" s="362">
        <f>'Notes (2)'!I269</f>
        <v>815463.3</v>
      </c>
      <c r="G12" s="363">
        <v>0</v>
      </c>
      <c r="H12" s="364">
        <f>'P &amp; L'!F10</f>
        <v>1632231.59</v>
      </c>
      <c r="I12" s="363"/>
      <c r="J12" s="365">
        <f>'Notes (2)'!I248+'Notes (2)'!I268+'Notes (2)'!I271</f>
        <v>4232463.1500000004</v>
      </c>
      <c r="K12" s="359"/>
      <c r="L12" s="365">
        <f>SUM(F12:J12)</f>
        <v>6680158.040000001</v>
      </c>
    </row>
    <row r="13" spans="2:15" ht="15.75" customHeight="1">
      <c r="B13" s="353" t="s">
        <v>523</v>
      </c>
      <c r="D13" s="353"/>
      <c r="E13" s="357"/>
      <c r="F13" s="366">
        <f>L13*F10</f>
        <v>529130.71465157531</v>
      </c>
      <c r="G13" s="366">
        <f>L13*G10</f>
        <v>0</v>
      </c>
      <c r="H13" s="367">
        <f>L13*H10</f>
        <v>1059108.1998338576</v>
      </c>
      <c r="I13" s="366"/>
      <c r="J13" s="366">
        <f>L13*J10</f>
        <v>2746323.7785145668</v>
      </c>
      <c r="K13" s="353"/>
      <c r="L13" s="366">
        <f>'P &amp; L'!F14+'P &amp; L'!F21</f>
        <v>4334562.693</v>
      </c>
    </row>
    <row r="14" spans="2:15" ht="15.75" customHeight="1">
      <c r="B14" s="353"/>
      <c r="D14" s="353"/>
      <c r="E14" s="357"/>
      <c r="F14" s="353">
        <f>F12-F13</f>
        <v>286332.58534842473</v>
      </c>
      <c r="G14" s="353">
        <f>G12-G13</f>
        <v>0</v>
      </c>
      <c r="H14" s="353">
        <f>H12-H13</f>
        <v>573123.39016614249</v>
      </c>
      <c r="I14" s="353"/>
      <c r="J14" s="353">
        <f>J12-J13</f>
        <v>1486139.3714854335</v>
      </c>
      <c r="K14" s="353"/>
      <c r="L14" s="401">
        <f>L12-L13</f>
        <v>2345595.347000001</v>
      </c>
      <c r="N14" s="350">
        <f>'P &amp; L'!F24</f>
        <v>2345595.3469999996</v>
      </c>
      <c r="O14" s="368">
        <f>L14-N14</f>
        <v>0</v>
      </c>
    </row>
    <row r="15" spans="2:15" ht="15.75" customHeight="1">
      <c r="B15" s="369" t="s">
        <v>524</v>
      </c>
      <c r="D15" s="353"/>
      <c r="E15" s="357"/>
      <c r="F15" s="353"/>
      <c r="G15" s="353"/>
      <c r="H15" s="353"/>
      <c r="I15" s="353"/>
      <c r="J15" s="353"/>
      <c r="K15" s="353"/>
      <c r="L15" s="353"/>
      <c r="O15" s="368"/>
    </row>
    <row r="16" spans="2:15" ht="15.75" customHeight="1">
      <c r="B16" s="353" t="s">
        <v>525</v>
      </c>
      <c r="D16" s="353"/>
      <c r="E16" s="353"/>
      <c r="F16" s="353">
        <f>L16*F10</f>
        <v>2376.6705213477098</v>
      </c>
      <c r="G16" s="353">
        <f>L16*G10</f>
        <v>0</v>
      </c>
      <c r="H16" s="370">
        <f>L16*H10</f>
        <v>4757.1444404248496</v>
      </c>
      <c r="I16" s="353"/>
      <c r="J16" s="353">
        <f>L16*J10</f>
        <v>12335.528038227436</v>
      </c>
      <c r="K16" s="353"/>
      <c r="L16" s="402">
        <f>'Notes (2)'!I261</f>
        <v>19469.342999999997</v>
      </c>
    </row>
    <row r="17" spans="2:12" ht="15.75" customHeight="1">
      <c r="B17" s="353" t="s">
        <v>526</v>
      </c>
      <c r="D17" s="353"/>
      <c r="E17" s="357"/>
      <c r="F17" s="370">
        <f>L17*F10</f>
        <v>0</v>
      </c>
      <c r="G17" s="370">
        <f>L17*G10</f>
        <v>0</v>
      </c>
      <c r="H17" s="370">
        <v>0</v>
      </c>
      <c r="I17" s="370"/>
      <c r="J17" s="370">
        <f>L17*J10</f>
        <v>0</v>
      </c>
      <c r="K17" s="370"/>
      <c r="L17" s="179">
        <v>0</v>
      </c>
    </row>
    <row r="18" spans="2:12" ht="2.25" customHeight="1">
      <c r="B18" s="353"/>
      <c r="D18" s="353"/>
      <c r="E18" s="357"/>
      <c r="F18" s="366"/>
      <c r="G18" s="366"/>
      <c r="H18" s="366"/>
      <c r="I18" s="366"/>
      <c r="J18" s="366"/>
      <c r="K18" s="353"/>
      <c r="L18" s="371"/>
    </row>
    <row r="19" spans="2:12" ht="16.5" customHeight="1">
      <c r="B19" s="353"/>
      <c r="D19" s="353"/>
      <c r="E19" s="357"/>
      <c r="F19" s="353">
        <f>SUM(F14:F18)</f>
        <v>288709.25586977246</v>
      </c>
      <c r="G19" s="353">
        <f>SUM(G14:G18)</f>
        <v>0</v>
      </c>
      <c r="H19" s="353">
        <f>SUM(H14:H18)</f>
        <v>577880.53460656735</v>
      </c>
      <c r="I19" s="353"/>
      <c r="J19" s="353">
        <f>SUM(J14:J18)</f>
        <v>1498474.899523661</v>
      </c>
      <c r="K19" s="353"/>
      <c r="L19" s="353">
        <f>SUM(L14:L18)</f>
        <v>2365064.6900000009</v>
      </c>
    </row>
    <row r="20" spans="2:12" ht="16.5" customHeight="1">
      <c r="B20" s="369" t="s">
        <v>527</v>
      </c>
      <c r="D20" s="353"/>
      <c r="E20" s="357"/>
      <c r="F20" s="353"/>
      <c r="G20" s="353"/>
      <c r="H20" s="353"/>
      <c r="I20" s="353"/>
      <c r="J20" s="353"/>
      <c r="K20" s="353"/>
      <c r="L20" s="357"/>
    </row>
    <row r="21" spans="2:12" ht="16.5" customHeight="1">
      <c r="B21" s="353" t="s">
        <v>528</v>
      </c>
      <c r="D21" s="353"/>
      <c r="E21" s="357"/>
      <c r="F21" s="353">
        <f>L21*F10</f>
        <v>2433.6046724244015</v>
      </c>
      <c r="G21" s="353">
        <f>L21*G10</f>
        <v>0</v>
      </c>
      <c r="H21" s="353">
        <f>L21*H10</f>
        <v>4871.1038545851306</v>
      </c>
      <c r="I21" s="353"/>
      <c r="J21" s="353">
        <f>L21*J10</f>
        <v>12631.030847990463</v>
      </c>
      <c r="K21" s="353"/>
      <c r="L21" s="402">
        <f>'TAX SCHEDULE'!K28</f>
        <v>19935.739374999997</v>
      </c>
    </row>
    <row r="22" spans="2:12" ht="16.5" customHeight="1">
      <c r="B22" s="353" t="s">
        <v>529</v>
      </c>
      <c r="D22" s="353"/>
      <c r="E22" s="357"/>
      <c r="F22" s="308">
        <v>0</v>
      </c>
      <c r="G22" s="308"/>
      <c r="H22" s="308"/>
      <c r="I22" s="308"/>
      <c r="J22" s="308">
        <f>'Notes (2)'!I271</f>
        <v>0</v>
      </c>
      <c r="K22" s="308"/>
      <c r="L22" s="309">
        <f>+J22+F22</f>
        <v>0</v>
      </c>
    </row>
    <row r="23" spans="2:12" ht="3.75" customHeight="1">
      <c r="B23" s="353"/>
      <c r="D23" s="353"/>
      <c r="E23" s="357"/>
      <c r="F23" s="353"/>
      <c r="G23" s="353"/>
      <c r="H23" s="353"/>
      <c r="I23" s="353"/>
      <c r="J23" s="353"/>
      <c r="K23" s="353"/>
      <c r="L23" s="357"/>
    </row>
    <row r="24" spans="2:12" ht="15.75" customHeight="1">
      <c r="B24" s="353" t="s">
        <v>530</v>
      </c>
      <c r="D24" s="353"/>
      <c r="E24" s="357"/>
      <c r="F24" s="373">
        <f>+F19-F21-F22</f>
        <v>286275.65119734808</v>
      </c>
      <c r="G24" s="373" t="e">
        <f>+G19-G21-#REF!</f>
        <v>#REF!</v>
      </c>
      <c r="H24" s="373">
        <f>+H19-H21-H22</f>
        <v>573009.43075198226</v>
      </c>
      <c r="I24" s="373"/>
      <c r="J24" s="373">
        <f>+J19-J21-J22</f>
        <v>1485843.8686756706</v>
      </c>
      <c r="K24" s="353"/>
      <c r="L24" s="405">
        <f>+L19-L21-L22</f>
        <v>2345128.950625001</v>
      </c>
    </row>
    <row r="25" spans="2:12" ht="6" customHeight="1">
      <c r="B25" s="353"/>
      <c r="D25" s="353"/>
      <c r="E25" s="357"/>
      <c r="F25" s="353"/>
      <c r="G25" s="353"/>
      <c r="H25" s="353"/>
      <c r="I25" s="353"/>
      <c r="J25" s="353"/>
      <c r="K25" s="353"/>
      <c r="L25" s="357"/>
    </row>
    <row r="26" spans="2:12" ht="15.75" customHeight="1">
      <c r="B26" s="353" t="s">
        <v>531</v>
      </c>
      <c r="D26" s="353"/>
      <c r="E26" s="357"/>
      <c r="F26" s="372">
        <v>0</v>
      </c>
      <c r="G26" s="372"/>
      <c r="H26" s="374">
        <v>0</v>
      </c>
      <c r="I26" s="372"/>
      <c r="J26" s="370">
        <v>0</v>
      </c>
      <c r="K26" s="353"/>
      <c r="L26" s="179">
        <f>F26+J26</f>
        <v>0</v>
      </c>
    </row>
    <row r="27" spans="2:12" ht="15.75" customHeight="1">
      <c r="B27" s="353"/>
      <c r="D27" s="353"/>
      <c r="E27" s="357"/>
      <c r="F27" s="373"/>
      <c r="G27" s="375"/>
      <c r="H27" s="353"/>
      <c r="I27" s="353"/>
      <c r="J27" s="373"/>
      <c r="K27" s="353"/>
      <c r="L27" s="376"/>
    </row>
    <row r="28" spans="2:12" ht="15.75" customHeight="1" thickBot="1">
      <c r="B28" s="353" t="s">
        <v>555</v>
      </c>
      <c r="D28" s="353"/>
      <c r="E28" s="357"/>
      <c r="F28" s="377">
        <f>F24+F26</f>
        <v>286275.65119734808</v>
      </c>
      <c r="G28" s="378"/>
      <c r="H28" s="377">
        <f>H24+H26</f>
        <v>573009.43075198226</v>
      </c>
      <c r="I28" s="353"/>
      <c r="J28" s="377">
        <f>J24+J26</f>
        <v>1485843.8686756706</v>
      </c>
      <c r="K28" s="353"/>
      <c r="L28" s="377">
        <f>L24+L26</f>
        <v>2345128.950625001</v>
      </c>
    </row>
    <row r="29" spans="2:12" ht="15.75" customHeight="1" thickTop="1">
      <c r="B29" s="369" t="s">
        <v>373</v>
      </c>
      <c r="D29" s="353"/>
      <c r="E29" s="357"/>
      <c r="F29" s="353"/>
      <c r="G29" s="353"/>
      <c r="H29" s="353"/>
      <c r="I29" s="353"/>
      <c r="J29" s="353"/>
      <c r="K29" s="353"/>
      <c r="L29" s="357"/>
    </row>
    <row r="30" spans="2:12" ht="15.75" customHeight="1" thickBot="1">
      <c r="B30" s="353" t="s">
        <v>532</v>
      </c>
      <c r="D30" s="353"/>
      <c r="E30" s="357"/>
      <c r="F30" s="379">
        <v>0</v>
      </c>
      <c r="G30" s="353"/>
      <c r="H30" s="379">
        <v>0</v>
      </c>
      <c r="I30" s="353"/>
      <c r="J30" s="404">
        <f>J28*0.33</f>
        <v>490328.47666297131</v>
      </c>
      <c r="K30" s="308"/>
      <c r="L30" s="406">
        <f>F30+J30</f>
        <v>490328.47666297131</v>
      </c>
    </row>
    <row r="31" spans="2:12" ht="15.75" customHeight="1" thickTop="1">
      <c r="B31" s="353"/>
      <c r="D31" s="353"/>
      <c r="E31" s="357"/>
      <c r="F31" s="372"/>
      <c r="G31" s="353"/>
      <c r="H31" s="353"/>
      <c r="I31" s="353"/>
      <c r="J31" s="353"/>
      <c r="K31" s="353"/>
      <c r="L31" s="357"/>
    </row>
    <row r="32" spans="2:12" ht="15.75" customHeight="1" thickBot="1">
      <c r="B32" s="353" t="s">
        <v>556</v>
      </c>
      <c r="D32" s="353"/>
      <c r="E32" s="357"/>
      <c r="F32" s="379">
        <v>0</v>
      </c>
      <c r="G32" s="353"/>
      <c r="H32" s="379">
        <v>0</v>
      </c>
      <c r="I32" s="353"/>
      <c r="J32" s="377">
        <f>J12*1%</f>
        <v>42324.631500000003</v>
      </c>
      <c r="K32" s="353">
        <v>-67264</v>
      </c>
      <c r="L32" s="407">
        <f>F32+J32</f>
        <v>42324.631500000003</v>
      </c>
    </row>
    <row r="33" spans="2:14" ht="15.75" customHeight="1" thickTop="1">
      <c r="B33" s="353"/>
      <c r="D33" s="353"/>
      <c r="E33" s="357"/>
      <c r="F33" s="353"/>
      <c r="G33" s="353"/>
      <c r="H33" s="353"/>
      <c r="I33" s="353"/>
      <c r="J33" s="353"/>
      <c r="K33" s="353"/>
      <c r="L33" s="357"/>
    </row>
    <row r="34" spans="2:14" ht="15.75" customHeight="1">
      <c r="B34" s="369" t="s">
        <v>373</v>
      </c>
      <c r="D34" s="353"/>
      <c r="E34" s="357"/>
      <c r="F34" s="353"/>
      <c r="G34" s="353"/>
      <c r="H34" s="353"/>
      <c r="I34" s="353"/>
      <c r="J34" s="353"/>
      <c r="K34" s="353"/>
      <c r="L34" s="357"/>
    </row>
    <row r="35" spans="2:14" ht="15.75" customHeight="1" thickBot="1">
      <c r="B35" s="353" t="s">
        <v>533</v>
      </c>
      <c r="D35" s="353"/>
      <c r="E35" s="357"/>
      <c r="F35" s="353"/>
      <c r="G35" s="353"/>
      <c r="H35" s="353"/>
      <c r="I35" s="353"/>
      <c r="J35" s="353"/>
      <c r="K35" s="353"/>
      <c r="L35" s="407">
        <f>+L72</f>
        <v>252643.69315252351</v>
      </c>
    </row>
    <row r="36" spans="2:14" ht="15.75" customHeight="1" thickTop="1" thickBot="1">
      <c r="B36" s="353" t="s">
        <v>534</v>
      </c>
      <c r="D36" s="353"/>
      <c r="E36" s="357"/>
      <c r="F36" s="353"/>
      <c r="G36" s="353"/>
      <c r="H36" s="353"/>
      <c r="I36" s="353"/>
      <c r="J36" s="353"/>
      <c r="K36" s="353"/>
      <c r="L36" s="408">
        <f>+L30</f>
        <v>490328.47666297131</v>
      </c>
    </row>
    <row r="37" spans="2:14" ht="15.75" customHeight="1" thickTop="1" thickBot="1">
      <c r="B37" s="353" t="s">
        <v>535</v>
      </c>
      <c r="D37" s="353"/>
      <c r="E37" s="357"/>
      <c r="F37" s="353"/>
      <c r="G37" s="353"/>
      <c r="H37" s="353"/>
      <c r="I37" s="353"/>
      <c r="J37" s="353"/>
      <c r="K37" s="353"/>
      <c r="L37" s="380">
        <f>+L32</f>
        <v>42324.631500000003</v>
      </c>
    </row>
    <row r="38" spans="2:14" ht="15.75" customHeight="1" thickTop="1">
      <c r="B38" s="353"/>
      <c r="D38" s="353"/>
      <c r="E38" s="357"/>
      <c r="F38" s="353"/>
      <c r="G38" s="353"/>
      <c r="H38" s="353"/>
      <c r="I38" s="353"/>
      <c r="J38" s="353"/>
      <c r="K38" s="353"/>
      <c r="L38" s="357"/>
    </row>
    <row r="39" spans="2:14" ht="15.75" customHeight="1">
      <c r="B39" s="353" t="s">
        <v>536</v>
      </c>
      <c r="D39" s="353"/>
      <c r="E39" s="357"/>
      <c r="F39" s="353"/>
      <c r="G39" s="353"/>
      <c r="H39" s="353"/>
      <c r="I39" s="353"/>
      <c r="J39" s="353"/>
      <c r="K39" s="353"/>
      <c r="L39" s="357">
        <f>MAX(L35:L37)</f>
        <v>490328.47666297131</v>
      </c>
    </row>
    <row r="40" spans="2:14" ht="15.75" customHeight="1">
      <c r="B40" s="353" t="s">
        <v>537</v>
      </c>
      <c r="D40" s="353"/>
      <c r="E40" s="357"/>
      <c r="F40" s="353"/>
      <c r="G40" s="353"/>
      <c r="H40" s="353"/>
      <c r="I40" s="353"/>
      <c r="J40" s="353"/>
      <c r="K40" s="353"/>
      <c r="L40" s="357">
        <f>H50</f>
        <v>271602</v>
      </c>
    </row>
    <row r="41" spans="2:14" ht="15.75" customHeight="1">
      <c r="B41" s="353" t="s">
        <v>538</v>
      </c>
      <c r="D41" s="353"/>
      <c r="E41" s="357"/>
      <c r="F41" s="353"/>
      <c r="G41" s="353"/>
      <c r="H41" s="353"/>
      <c r="I41" s="353"/>
      <c r="J41" s="353"/>
      <c r="K41" s="353"/>
      <c r="L41" s="357">
        <f>+F49</f>
        <v>81547</v>
      </c>
    </row>
    <row r="42" spans="2:14" ht="4.5" customHeight="1">
      <c r="B42" s="353"/>
      <c r="D42" s="353"/>
      <c r="E42" s="357"/>
      <c r="F42" s="353"/>
      <c r="G42" s="353"/>
      <c r="H42" s="353"/>
      <c r="I42" s="353"/>
      <c r="J42" s="353"/>
      <c r="K42" s="353"/>
      <c r="L42" s="357"/>
    </row>
    <row r="43" spans="2:14" ht="15.75" customHeight="1">
      <c r="B43" s="353"/>
      <c r="D43" s="353"/>
      <c r="E43" s="357"/>
      <c r="F43" s="353"/>
      <c r="G43" s="353"/>
      <c r="H43" s="353"/>
      <c r="I43" s="353"/>
      <c r="J43" s="353"/>
      <c r="K43" s="353"/>
      <c r="L43" s="376">
        <f>+L39+L41+L40</f>
        <v>843477.47666297131</v>
      </c>
      <c r="N43" s="350">
        <f>L43-'Balance Sheet'!K29</f>
        <v>843477.47666297131</v>
      </c>
    </row>
    <row r="44" spans="2:14" ht="15.75" customHeight="1">
      <c r="B44" s="369" t="s">
        <v>137</v>
      </c>
      <c r="D44" s="353"/>
      <c r="E44" s="357"/>
      <c r="F44" s="353"/>
      <c r="G44" s="353"/>
      <c r="H44" s="353"/>
      <c r="I44" s="353"/>
      <c r="J44" s="353"/>
      <c r="K44" s="353"/>
      <c r="L44" s="357"/>
    </row>
    <row r="45" spans="2:14" ht="3.75" customHeight="1">
      <c r="B45" s="353"/>
      <c r="D45" s="353"/>
      <c r="E45" s="357"/>
      <c r="F45" s="353"/>
      <c r="G45" s="353"/>
      <c r="H45" s="353"/>
      <c r="I45" s="353"/>
      <c r="J45" s="353"/>
      <c r="K45" s="353"/>
      <c r="L45" s="357"/>
    </row>
    <row r="46" spans="2:14" ht="15.75" customHeight="1">
      <c r="B46" s="353"/>
      <c r="C46" s="350" t="s">
        <v>139</v>
      </c>
      <c r="D46" s="353"/>
      <c r="E46" s="357"/>
      <c r="F46" s="381">
        <v>0</v>
      </c>
      <c r="G46" s="370"/>
      <c r="H46" s="381">
        <v>0</v>
      </c>
      <c r="I46" s="370"/>
      <c r="J46" s="382">
        <v>0</v>
      </c>
      <c r="K46" s="370"/>
      <c r="L46" s="357"/>
    </row>
    <row r="47" spans="2:14" ht="15.75" customHeight="1">
      <c r="B47" s="353"/>
      <c r="C47" s="350" t="s">
        <v>140</v>
      </c>
      <c r="D47" s="353"/>
      <c r="E47" s="357"/>
      <c r="F47" s="383">
        <v>0</v>
      </c>
      <c r="G47" s="370"/>
      <c r="H47" s="383">
        <v>0</v>
      </c>
      <c r="I47" s="370"/>
      <c r="J47" s="384">
        <v>0</v>
      </c>
      <c r="K47" s="370"/>
      <c r="L47" s="357"/>
    </row>
    <row r="48" spans="2:14" ht="15.75" customHeight="1">
      <c r="B48" s="353"/>
      <c r="C48" s="350" t="s">
        <v>141</v>
      </c>
      <c r="D48" s="353"/>
      <c r="E48" s="357"/>
      <c r="F48" s="383">
        <v>0</v>
      </c>
      <c r="G48" s="370"/>
      <c r="H48" s="383">
        <v>0</v>
      </c>
      <c r="I48" s="370"/>
      <c r="J48" s="384">
        <v>6371</v>
      </c>
      <c r="K48" s="370"/>
      <c r="L48" s="357"/>
    </row>
    <row r="49" spans="2:14" ht="15.75" customHeight="1">
      <c r="B49" s="385" t="s">
        <v>539</v>
      </c>
      <c r="C49" s="350" t="s">
        <v>343</v>
      </c>
      <c r="D49" s="353"/>
      <c r="E49" s="357"/>
      <c r="F49" s="383">
        <v>81547</v>
      </c>
      <c r="G49" s="370"/>
      <c r="H49" s="383">
        <v>0</v>
      </c>
      <c r="I49" s="370"/>
      <c r="J49" s="383">
        <v>0</v>
      </c>
      <c r="K49" s="370"/>
      <c r="L49" s="357"/>
    </row>
    <row r="50" spans="2:14" ht="15.75" customHeight="1">
      <c r="B50" s="385" t="s">
        <v>540</v>
      </c>
      <c r="C50" s="350" t="s">
        <v>362</v>
      </c>
      <c r="D50" s="353"/>
      <c r="E50" s="357"/>
      <c r="F50" s="383">
        <v>0</v>
      </c>
      <c r="G50" s="370"/>
      <c r="H50" s="383">
        <v>271602</v>
      </c>
      <c r="I50" s="370"/>
      <c r="J50" s="383">
        <v>0</v>
      </c>
      <c r="K50" s="370"/>
      <c r="L50" s="357"/>
      <c r="N50" s="350">
        <f>151563+76852-144116-228415</f>
        <v>-144116</v>
      </c>
    </row>
    <row r="51" spans="2:14" ht="15.75" customHeight="1">
      <c r="B51" s="353"/>
      <c r="C51" s="350" t="s">
        <v>142</v>
      </c>
      <c r="D51" s="353"/>
      <c r="E51" s="357"/>
      <c r="F51" s="386">
        <v>0</v>
      </c>
      <c r="G51" s="370"/>
      <c r="H51" s="386">
        <v>0</v>
      </c>
      <c r="I51" s="370"/>
      <c r="J51" s="386">
        <f>231691</f>
        <v>231691</v>
      </c>
      <c r="K51" s="370"/>
      <c r="L51" s="357"/>
    </row>
    <row r="52" spans="2:14" ht="15.75" customHeight="1">
      <c r="B52" s="353"/>
      <c r="D52" s="353"/>
      <c r="E52" s="357"/>
      <c r="F52" s="353">
        <f>SUM(F46:F51)</f>
        <v>81547</v>
      </c>
      <c r="G52" s="353"/>
      <c r="H52" s="353">
        <f>SUM(H46:H51)</f>
        <v>271602</v>
      </c>
      <c r="I52" s="353"/>
      <c r="J52" s="353">
        <f>SUM(J46:J51)</f>
        <v>238062</v>
      </c>
      <c r="K52" s="353"/>
      <c r="L52" s="357">
        <f>F52+J52+H52</f>
        <v>591211</v>
      </c>
    </row>
    <row r="53" spans="2:14" ht="5.25" customHeight="1">
      <c r="B53" s="353"/>
      <c r="D53" s="353"/>
      <c r="E53" s="357"/>
      <c r="F53" s="353"/>
      <c r="G53" s="353"/>
      <c r="H53" s="353"/>
      <c r="I53" s="353"/>
      <c r="J53" s="353"/>
      <c r="K53" s="353"/>
      <c r="L53" s="376"/>
    </row>
    <row r="54" spans="2:14" ht="15.75" customHeight="1" thickBot="1">
      <c r="B54" s="353"/>
      <c r="C54" s="350" t="s">
        <v>541</v>
      </c>
      <c r="D54" s="353"/>
      <c r="E54" s="357"/>
      <c r="F54" s="353"/>
      <c r="G54" s="353"/>
      <c r="H54" s="353"/>
      <c r="I54" s="353"/>
      <c r="J54" s="353"/>
      <c r="K54" s="353"/>
      <c r="L54" s="380">
        <f>L43-L52</f>
        <v>252266.47666297131</v>
      </c>
    </row>
    <row r="55" spans="2:14" ht="4.5" customHeight="1" thickTop="1">
      <c r="B55" s="353"/>
      <c r="D55" s="353"/>
      <c r="E55" s="357"/>
      <c r="F55" s="353"/>
      <c r="G55" s="353"/>
      <c r="H55" s="353"/>
      <c r="I55" s="353"/>
      <c r="J55" s="353"/>
      <c r="K55" s="353"/>
      <c r="L55" s="357"/>
    </row>
    <row r="56" spans="2:14" ht="15.75" customHeight="1">
      <c r="B56" s="387" t="s">
        <v>542</v>
      </c>
      <c r="C56" s="388"/>
      <c r="D56" s="353"/>
      <c r="E56" s="357"/>
      <c r="F56" s="353"/>
      <c r="G56" s="353"/>
      <c r="H56" s="353"/>
      <c r="I56" s="353"/>
      <c r="J56" s="353"/>
      <c r="K56" s="353"/>
      <c r="L56" s="357"/>
    </row>
    <row r="57" spans="2:14" ht="3.75" customHeight="1">
      <c r="B57" s="353"/>
      <c r="D57" s="353"/>
      <c r="E57" s="357"/>
      <c r="F57" s="353"/>
      <c r="G57" s="353"/>
      <c r="H57" s="353"/>
      <c r="I57" s="353"/>
      <c r="J57" s="353"/>
      <c r="K57" s="353"/>
      <c r="L57" s="357"/>
    </row>
    <row r="58" spans="2:14" ht="15.75" customHeight="1">
      <c r="B58" s="353"/>
      <c r="C58" s="350" t="s">
        <v>372</v>
      </c>
      <c r="D58" s="353"/>
      <c r="E58" s="357"/>
      <c r="F58" s="353"/>
      <c r="G58" s="353"/>
      <c r="H58" s="353"/>
      <c r="I58" s="353"/>
      <c r="J58" s="353"/>
      <c r="K58" s="353"/>
      <c r="L58" s="357">
        <f>'P &amp; L'!F24</f>
        <v>2345595.3469999996</v>
      </c>
    </row>
    <row r="59" spans="2:14" ht="15.75" customHeight="1">
      <c r="B59" s="353" t="s">
        <v>543</v>
      </c>
      <c r="D59" s="353"/>
      <c r="E59" s="357"/>
      <c r="F59" s="353"/>
      <c r="G59" s="353"/>
      <c r="H59" s="353"/>
      <c r="I59" s="353"/>
      <c r="J59" s="353"/>
      <c r="K59" s="353"/>
      <c r="L59" s="357"/>
    </row>
    <row r="60" spans="2:14" ht="15.75" customHeight="1">
      <c r="B60" s="353" t="s">
        <v>47</v>
      </c>
      <c r="C60" s="350" t="s">
        <v>351</v>
      </c>
      <c r="D60" s="353"/>
      <c r="E60" s="357"/>
      <c r="F60" s="353"/>
      <c r="G60" s="353"/>
      <c r="H60" s="353"/>
      <c r="I60" s="353"/>
      <c r="J60" s="389">
        <f>+F12</f>
        <v>815463.3</v>
      </c>
      <c r="K60" s="353"/>
      <c r="L60" s="357"/>
    </row>
    <row r="61" spans="2:14" ht="15.75" customHeight="1">
      <c r="B61" s="353"/>
      <c r="C61" s="350" t="s">
        <v>544</v>
      </c>
      <c r="D61" s="353"/>
      <c r="E61" s="357"/>
      <c r="F61" s="353"/>
      <c r="G61" s="353"/>
      <c r="H61" s="353"/>
      <c r="I61" s="353"/>
      <c r="J61" s="390">
        <f>-F13</f>
        <v>-529130.71465157531</v>
      </c>
      <c r="K61" s="353"/>
      <c r="L61" s="357"/>
    </row>
    <row r="62" spans="2:14" ht="15.75" customHeight="1">
      <c r="B62" s="353"/>
      <c r="D62" s="353"/>
      <c r="E62" s="357"/>
      <c r="F62" s="353"/>
      <c r="G62" s="353"/>
      <c r="H62" s="353"/>
      <c r="I62" s="353"/>
      <c r="J62" s="353">
        <f>SUM(J60:J61)</f>
        <v>286332.58534842473</v>
      </c>
      <c r="K62" s="353"/>
      <c r="L62" s="357">
        <f>+J62</f>
        <v>286332.58534842473</v>
      </c>
    </row>
    <row r="63" spans="2:14" ht="15.75" customHeight="1">
      <c r="B63" s="353"/>
      <c r="D63" s="353"/>
      <c r="E63" s="357"/>
      <c r="F63" s="353"/>
      <c r="G63" s="353"/>
      <c r="H63" s="353"/>
      <c r="I63" s="353"/>
      <c r="J63" s="353"/>
      <c r="K63" s="353"/>
      <c r="L63" s="357"/>
    </row>
    <row r="64" spans="2:14" ht="15.75" customHeight="1">
      <c r="B64" s="353" t="s">
        <v>47</v>
      </c>
      <c r="C64" s="350" t="s">
        <v>362</v>
      </c>
      <c r="D64" s="353"/>
      <c r="E64" s="357"/>
      <c r="F64" s="353"/>
      <c r="G64" s="353"/>
      <c r="H64" s="353"/>
      <c r="I64" s="353"/>
      <c r="J64" s="381">
        <f>H12</f>
        <v>1632231.59</v>
      </c>
      <c r="K64" s="353"/>
      <c r="L64" s="357"/>
    </row>
    <row r="65" spans="2:15" ht="15.75" customHeight="1">
      <c r="B65" s="369"/>
      <c r="C65" s="353" t="s">
        <v>544</v>
      </c>
      <c r="D65" s="353"/>
      <c r="E65" s="357"/>
      <c r="F65" s="353"/>
      <c r="G65" s="353"/>
      <c r="H65" s="353"/>
      <c r="I65" s="353"/>
      <c r="J65" s="386">
        <f>-H13</f>
        <v>-1059108.1998338576</v>
      </c>
      <c r="K65" s="353"/>
      <c r="L65" s="357"/>
    </row>
    <row r="66" spans="2:15" s="391" customFormat="1" ht="16.5" customHeight="1">
      <c r="C66" s="392"/>
      <c r="D66" s="370"/>
      <c r="E66" s="370"/>
      <c r="F66" s="370"/>
      <c r="G66" s="370"/>
      <c r="H66" s="370"/>
      <c r="I66" s="370"/>
      <c r="J66" s="370">
        <f>SUM(J64:J65)</f>
        <v>573123.39016614249</v>
      </c>
      <c r="K66" s="370"/>
      <c r="L66" s="370">
        <f>+J66</f>
        <v>573123.39016614249</v>
      </c>
      <c r="M66" s="370"/>
      <c r="N66" s="370"/>
      <c r="O66" s="370"/>
    </row>
    <row r="67" spans="2:15" s="391" customFormat="1" ht="15.75" customHeight="1">
      <c r="B67" s="391" t="s">
        <v>47</v>
      </c>
      <c r="C67" s="391" t="s">
        <v>352</v>
      </c>
      <c r="D67" s="370"/>
      <c r="E67" s="370"/>
      <c r="F67" s="370"/>
      <c r="G67" s="370"/>
      <c r="H67" s="370"/>
      <c r="I67" s="370"/>
      <c r="J67" s="370"/>
      <c r="K67" s="370"/>
      <c r="L67" s="370"/>
      <c r="M67" s="370"/>
      <c r="N67" s="370"/>
      <c r="O67" s="370"/>
    </row>
    <row r="68" spans="2:15" s="391" customFormat="1" ht="15.75" customHeight="1">
      <c r="C68" s="393" t="s">
        <v>353</v>
      </c>
      <c r="D68" s="370"/>
      <c r="E68" s="370"/>
      <c r="F68" s="370"/>
      <c r="G68" s="370"/>
      <c r="H68" s="370"/>
      <c r="I68" s="370"/>
      <c r="J68" s="370"/>
      <c r="K68" s="370"/>
      <c r="L68" s="370">
        <f>'Notes (2)'!I271</f>
        <v>0</v>
      </c>
      <c r="M68" s="370"/>
      <c r="N68" s="370"/>
      <c r="O68" s="370"/>
    </row>
    <row r="69" spans="2:15" ht="3" customHeight="1">
      <c r="L69" s="373"/>
    </row>
    <row r="70" spans="2:15" ht="15.75" customHeight="1" thickBot="1">
      <c r="C70" s="350" t="s">
        <v>545</v>
      </c>
      <c r="L70" s="377">
        <f>+L58-L62-L66-L68</f>
        <v>1486139.3714854324</v>
      </c>
    </row>
    <row r="71" spans="2:15" ht="4.5" customHeight="1" thickTop="1"/>
    <row r="72" spans="2:15" ht="15.75" customHeight="1" thickBot="1">
      <c r="C72" s="350" t="s">
        <v>546</v>
      </c>
      <c r="L72" s="377">
        <f>+L70*0.17</f>
        <v>252643.69315252351</v>
      </c>
    </row>
    <row r="73" spans="2:15" ht="15.75" customHeight="1" thickTop="1"/>
    <row r="74" spans="2:15" ht="15.75" customHeight="1">
      <c r="B74" s="385" t="s">
        <v>539</v>
      </c>
      <c r="C74" s="394" t="s">
        <v>547</v>
      </c>
    </row>
    <row r="75" spans="2:15" ht="15.75" customHeight="1">
      <c r="E75" s="395" t="s">
        <v>548</v>
      </c>
      <c r="F75" s="395" t="s">
        <v>549</v>
      </c>
      <c r="G75" s="395"/>
      <c r="H75" s="395" t="s">
        <v>550</v>
      </c>
    </row>
    <row r="76" spans="2:15" ht="15.75" customHeight="1">
      <c r="C76" s="350" t="s">
        <v>551</v>
      </c>
      <c r="E76" s="396">
        <v>0.1</v>
      </c>
      <c r="F76" s="350">
        <f>476185</f>
        <v>476185</v>
      </c>
      <c r="H76" s="350">
        <f>E76*F76</f>
        <v>47618.5</v>
      </c>
    </row>
    <row r="77" spans="2:15" ht="15.75" customHeight="1">
      <c r="F77" s="395">
        <f>SUM(F76:F76)</f>
        <v>476185</v>
      </c>
      <c r="G77" s="395"/>
      <c r="H77" s="395">
        <f>SUM(H76:H76)</f>
        <v>47618.5</v>
      </c>
    </row>
    <row r="78" spans="2:15" ht="15.75" customHeight="1">
      <c r="B78" s="385" t="s">
        <v>540</v>
      </c>
      <c r="C78" s="394" t="s">
        <v>552</v>
      </c>
      <c r="F78" s="395"/>
      <c r="G78" s="395"/>
      <c r="H78" s="395"/>
    </row>
    <row r="79" spans="2:15" ht="15.75" customHeight="1">
      <c r="E79" s="397"/>
      <c r="F79" s="352" t="s">
        <v>553</v>
      </c>
      <c r="G79" s="352"/>
      <c r="H79" s="352" t="s">
        <v>554</v>
      </c>
    </row>
    <row r="80" spans="2:15" ht="15.75" customHeight="1">
      <c r="C80" s="350" t="s">
        <v>557</v>
      </c>
      <c r="F80" s="367">
        <f>2172813</f>
        <v>2172813</v>
      </c>
      <c r="G80" s="391"/>
      <c r="H80" s="367">
        <f>271602</f>
        <v>271602</v>
      </c>
    </row>
    <row r="81" spans="6:8" ht="15.75" customHeight="1">
      <c r="F81" s="391">
        <f>SUM(F80:F80)</f>
        <v>2172813</v>
      </c>
      <c r="G81" s="391"/>
      <c r="H81" s="391">
        <f>SUM(H80:H80)</f>
        <v>271602</v>
      </c>
    </row>
    <row r="132" spans="3:3" ht="15.75" customHeight="1">
      <c r="C132" s="350" t="s">
        <v>62</v>
      </c>
    </row>
    <row r="149" spans="2:14" ht="15.75" customHeight="1">
      <c r="B149" s="398" t="s">
        <v>63</v>
      </c>
      <c r="C149" s="395" t="s">
        <v>64</v>
      </c>
    </row>
    <row r="151" spans="2:14" ht="15.75" customHeight="1">
      <c r="C151" s="350" t="s">
        <v>65</v>
      </c>
    </row>
    <row r="153" spans="2:14" ht="15.75" customHeight="1" thickBot="1">
      <c r="C153" s="350" t="s">
        <v>66</v>
      </c>
      <c r="M153" s="353"/>
      <c r="N153" s="399">
        <v>0</v>
      </c>
    </row>
    <row r="154" spans="2:14" ht="15.75" customHeight="1" thickTop="1">
      <c r="M154" s="353"/>
    </row>
    <row r="155" spans="2:14" ht="15.75" customHeight="1">
      <c r="B155" s="400" t="s">
        <v>67</v>
      </c>
    </row>
  </sheetData>
  <mergeCells count="9">
    <mergeCell ref="F8:L8"/>
    <mergeCell ref="B2:L2"/>
    <mergeCell ref="B3:L3"/>
    <mergeCell ref="B4:L4"/>
    <mergeCell ref="F6:F7"/>
    <mergeCell ref="G6:G7"/>
    <mergeCell ref="H6:H7"/>
    <mergeCell ref="J6:J7"/>
    <mergeCell ref="L6:L7"/>
  </mergeCells>
  <printOptions horizontalCentered="1"/>
  <pageMargins left="0.46" right="0.25" top="0.61" bottom="0.3" header="0.5" footer="0.32"/>
  <pageSetup paperSize="9" scale="65"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B1:O29"/>
  <sheetViews>
    <sheetView view="pageBreakPreview" zoomScale="90" zoomScaleNormal="100" zoomScaleSheetLayoutView="90" workbookViewId="0">
      <selection activeCell="M28" sqref="M28"/>
    </sheetView>
  </sheetViews>
  <sheetFormatPr defaultColWidth="8.5546875" defaultRowHeight="15.75"/>
  <cols>
    <col min="1" max="1" width="8.5546875" style="71"/>
    <col min="2" max="2" width="8.5546875" style="69"/>
    <col min="3" max="3" width="12.33203125" style="69" customWidth="1"/>
    <col min="4" max="4" width="11.6640625" style="69" customWidth="1"/>
    <col min="5" max="5" width="9" style="69" customWidth="1"/>
    <col min="6" max="6" width="11.44140625" style="69" customWidth="1"/>
    <col min="7" max="7" width="4" style="69" bestFit="1" customWidth="1"/>
    <col min="8" max="8" width="1.88671875" style="69" bestFit="1" customWidth="1"/>
    <col min="9" max="9" width="4" style="69" bestFit="1" customWidth="1"/>
    <col min="10" max="10" width="9.77734375" style="69" customWidth="1"/>
    <col min="11" max="11" width="9.5546875" style="70" customWidth="1"/>
    <col min="12" max="12" width="10" style="69" customWidth="1"/>
    <col min="13" max="13" width="12.21875" style="71" customWidth="1"/>
    <col min="14" max="14" width="2.6640625" style="71" customWidth="1"/>
    <col min="15" max="16384" width="8.5546875" style="71"/>
  </cols>
  <sheetData>
    <row r="1" spans="2:15">
      <c r="N1" s="72"/>
    </row>
    <row r="2" spans="2:15">
      <c r="N2" s="72"/>
    </row>
    <row r="3" spans="2:15">
      <c r="B3" s="73"/>
      <c r="N3" s="74"/>
    </row>
    <row r="4" spans="2:15">
      <c r="B4" s="73" t="str">
        <f>+'P &amp; L'!B2</f>
        <v>ARIF LATIF SECURITIES (PVT) LIMITED</v>
      </c>
    </row>
    <row r="5" spans="2:15">
      <c r="B5" s="75" t="s">
        <v>124</v>
      </c>
    </row>
    <row r="6" spans="2:15">
      <c r="B6" s="75" t="s">
        <v>405</v>
      </c>
    </row>
    <row r="8" spans="2:15">
      <c r="B8" s="489" t="s">
        <v>9</v>
      </c>
      <c r="C8" s="490"/>
      <c r="D8" s="495" t="s">
        <v>211</v>
      </c>
      <c r="E8" s="498" t="s">
        <v>125</v>
      </c>
      <c r="F8" s="495" t="s">
        <v>406</v>
      </c>
      <c r="G8" s="76" t="s">
        <v>126</v>
      </c>
      <c r="H8" s="77"/>
      <c r="I8" s="77"/>
      <c r="J8" s="77"/>
      <c r="K8" s="78"/>
      <c r="L8" s="79"/>
      <c r="M8" s="495" t="s">
        <v>407</v>
      </c>
    </row>
    <row r="9" spans="2:15">
      <c r="B9" s="491"/>
      <c r="C9" s="492"/>
      <c r="D9" s="496"/>
      <c r="E9" s="496"/>
      <c r="F9" s="496"/>
      <c r="G9" s="499" t="s">
        <v>127</v>
      </c>
      <c r="H9" s="500"/>
      <c r="I9" s="501"/>
      <c r="J9" s="505" t="s">
        <v>128</v>
      </c>
      <c r="K9" s="507" t="s">
        <v>129</v>
      </c>
      <c r="L9" s="80" t="s">
        <v>104</v>
      </c>
      <c r="M9" s="496"/>
    </row>
    <row r="10" spans="2:15">
      <c r="B10" s="493"/>
      <c r="C10" s="494"/>
      <c r="D10" s="497"/>
      <c r="E10" s="497"/>
      <c r="F10" s="497"/>
      <c r="G10" s="502"/>
      <c r="H10" s="503"/>
      <c r="I10" s="504"/>
      <c r="J10" s="506"/>
      <c r="K10" s="508"/>
      <c r="L10" s="81" t="s">
        <v>401</v>
      </c>
      <c r="M10" s="497"/>
    </row>
    <row r="12" spans="2:15" hidden="1">
      <c r="B12" s="69" t="s">
        <v>130</v>
      </c>
      <c r="D12" s="70">
        <v>0</v>
      </c>
      <c r="E12" s="70">
        <v>0</v>
      </c>
      <c r="F12" s="70">
        <f>D12+E12</f>
        <v>0</v>
      </c>
      <c r="G12" s="82">
        <v>0</v>
      </c>
      <c r="H12" s="82" t="s">
        <v>131</v>
      </c>
      <c r="I12" s="82">
        <v>10</v>
      </c>
      <c r="J12" s="70">
        <v>0</v>
      </c>
      <c r="K12" s="70">
        <v>0</v>
      </c>
      <c r="L12" s="70">
        <f>J12+K12</f>
        <v>0</v>
      </c>
      <c r="M12" s="83">
        <f>F12-L12</f>
        <v>0</v>
      </c>
      <c r="N12" s="83"/>
    </row>
    <row r="13" spans="2:15">
      <c r="D13" s="70"/>
      <c r="E13" s="70"/>
      <c r="F13" s="70"/>
      <c r="G13" s="82"/>
      <c r="H13" s="82"/>
      <c r="I13" s="82"/>
      <c r="J13" s="70"/>
      <c r="L13" s="70"/>
      <c r="M13" s="83"/>
      <c r="N13" s="83"/>
    </row>
    <row r="14" spans="2:15">
      <c r="B14" s="69" t="s">
        <v>109</v>
      </c>
      <c r="D14" s="403">
        <v>12163</v>
      </c>
      <c r="E14" s="70">
        <f>+'Fixed Assets'!E15</f>
        <v>0</v>
      </c>
      <c r="F14" s="70">
        <f>D14+E14</f>
        <v>12163</v>
      </c>
      <c r="G14" s="82">
        <v>25</v>
      </c>
      <c r="H14" s="82" t="s">
        <v>131</v>
      </c>
      <c r="I14" s="82">
        <v>30</v>
      </c>
      <c r="J14" s="70">
        <f>+E14*G14%</f>
        <v>0</v>
      </c>
      <c r="K14" s="70">
        <f>+(F14-J14)*I14%</f>
        <v>3648.9</v>
      </c>
      <c r="L14" s="70">
        <f>J14+K14</f>
        <v>3648.9</v>
      </c>
      <c r="M14" s="83">
        <f>F14-L14</f>
        <v>8514.1</v>
      </c>
      <c r="N14" s="83"/>
    </row>
    <row r="15" spans="2:15">
      <c r="D15" s="70"/>
      <c r="E15" s="70"/>
      <c r="F15" s="70"/>
      <c r="G15" s="82"/>
      <c r="H15" s="82"/>
      <c r="I15" s="82"/>
      <c r="J15" s="70"/>
      <c r="L15" s="70"/>
      <c r="M15" s="83"/>
      <c r="N15" s="83"/>
    </row>
    <row r="16" spans="2:15">
      <c r="B16" s="69" t="s">
        <v>112</v>
      </c>
      <c r="D16" s="403">
        <v>45020</v>
      </c>
      <c r="E16" s="70">
        <f>+'Fixed Assets'!E17</f>
        <v>0</v>
      </c>
      <c r="F16" s="70">
        <f>D16+E16</f>
        <v>45020</v>
      </c>
      <c r="G16" s="82">
        <v>0</v>
      </c>
      <c r="H16" s="82" t="s">
        <v>131</v>
      </c>
      <c r="I16" s="82">
        <v>15</v>
      </c>
      <c r="J16" s="70">
        <f>+E16*G16%</f>
        <v>0</v>
      </c>
      <c r="K16" s="70">
        <f>+(F16-J16)*I16%</f>
        <v>6753</v>
      </c>
      <c r="L16" s="70">
        <f>J16+K16+1</f>
        <v>6754</v>
      </c>
      <c r="M16" s="83">
        <f>F16-L16</f>
        <v>38266</v>
      </c>
      <c r="N16" s="83"/>
      <c r="O16" s="71">
        <f>D16+D18</f>
        <v>62950</v>
      </c>
    </row>
    <row r="17" spans="2:14">
      <c r="D17" s="70"/>
      <c r="E17" s="70"/>
      <c r="F17" s="70"/>
      <c r="G17" s="82"/>
      <c r="H17" s="82"/>
      <c r="I17" s="82"/>
      <c r="J17" s="70"/>
      <c r="L17" s="70"/>
      <c r="M17" s="83"/>
      <c r="N17" s="83"/>
    </row>
    <row r="18" spans="2:14">
      <c r="B18" s="69" t="s">
        <v>132</v>
      </c>
      <c r="C18" s="84"/>
      <c r="D18" s="403">
        <v>17930</v>
      </c>
      <c r="E18" s="70">
        <f>+'Fixed Assets'!E19</f>
        <v>0</v>
      </c>
      <c r="F18" s="70">
        <f>D18+E18</f>
        <v>17930</v>
      </c>
      <c r="G18" s="82">
        <v>0</v>
      </c>
      <c r="H18" s="82" t="s">
        <v>131</v>
      </c>
      <c r="I18" s="82">
        <v>15</v>
      </c>
      <c r="J18" s="70">
        <f>+E18*G18%</f>
        <v>0</v>
      </c>
      <c r="K18" s="70">
        <f>+(F18-J18)*I18%</f>
        <v>2689.5</v>
      </c>
      <c r="L18" s="70">
        <f>J18+K18</f>
        <v>2689.5</v>
      </c>
      <c r="M18" s="83">
        <f>F18-L18</f>
        <v>15240.5</v>
      </c>
      <c r="N18" s="83"/>
    </row>
    <row r="19" spans="2:14">
      <c r="D19" s="70"/>
      <c r="E19" s="70"/>
      <c r="F19" s="70"/>
      <c r="G19" s="82"/>
      <c r="H19" s="82"/>
      <c r="I19" s="82"/>
      <c r="J19" s="70"/>
      <c r="L19" s="70"/>
      <c r="M19" s="83"/>
      <c r="N19" s="83"/>
    </row>
    <row r="20" spans="2:14">
      <c r="B20" s="69" t="s">
        <v>133</v>
      </c>
      <c r="D20" s="403">
        <v>30474.327499999999</v>
      </c>
      <c r="E20" s="70">
        <f>+'Fixed Assets'!E13</f>
        <v>0</v>
      </c>
      <c r="F20" s="70">
        <f>D20+E20</f>
        <v>30474.327499999999</v>
      </c>
      <c r="G20" s="82">
        <v>0</v>
      </c>
      <c r="H20" s="82" t="s">
        <v>131</v>
      </c>
      <c r="I20" s="82">
        <v>15</v>
      </c>
      <c r="J20" s="70">
        <f>+E20*G20%</f>
        <v>0</v>
      </c>
      <c r="K20" s="70">
        <f>+(F20-J20)*I20%</f>
        <v>4571.1491249999999</v>
      </c>
      <c r="L20" s="70">
        <f>J20+K20</f>
        <v>4571.1491249999999</v>
      </c>
      <c r="M20" s="83">
        <f>F20-L20</f>
        <v>25903.178375</v>
      </c>
      <c r="N20" s="83"/>
    </row>
    <row r="21" spans="2:14">
      <c r="D21" s="70"/>
      <c r="E21" s="70"/>
      <c r="F21" s="70"/>
      <c r="G21" s="82"/>
      <c r="H21" s="82"/>
      <c r="I21" s="82"/>
      <c r="J21" s="70"/>
      <c r="L21" s="70"/>
      <c r="M21" s="83"/>
      <c r="N21" s="83"/>
    </row>
    <row r="22" spans="2:14">
      <c r="B22" s="69" t="s">
        <v>113</v>
      </c>
      <c r="D22" s="403">
        <v>15147.934999999999</v>
      </c>
      <c r="E22" s="70">
        <f>+'Fixed Assets'!E21</f>
        <v>0</v>
      </c>
      <c r="F22" s="70">
        <f>D22+E22</f>
        <v>15147.934999999999</v>
      </c>
      <c r="G22" s="82">
        <v>0</v>
      </c>
      <c r="H22" s="82" t="s">
        <v>131</v>
      </c>
      <c r="I22" s="82">
        <v>15</v>
      </c>
      <c r="J22" s="70">
        <f>+E22*G22%</f>
        <v>0</v>
      </c>
      <c r="K22" s="70">
        <f>+(F22-J22)*I22%</f>
        <v>2272.1902499999997</v>
      </c>
      <c r="L22" s="70">
        <f>J22+K22</f>
        <v>2272.1902499999997</v>
      </c>
      <c r="M22" s="83">
        <f>F22-L22</f>
        <v>12875.74475</v>
      </c>
      <c r="N22" s="83"/>
    </row>
    <row r="23" spans="2:14">
      <c r="D23" s="70"/>
      <c r="E23" s="70"/>
      <c r="F23" s="70"/>
      <c r="G23" s="82"/>
      <c r="H23" s="82"/>
      <c r="I23" s="82"/>
      <c r="J23" s="70"/>
      <c r="L23" s="70"/>
      <c r="M23" s="83"/>
      <c r="N23" s="83"/>
    </row>
    <row r="24" spans="2:14" hidden="1">
      <c r="B24" s="69" t="s">
        <v>134</v>
      </c>
      <c r="D24" s="70">
        <v>0</v>
      </c>
      <c r="E24" s="70">
        <v>0</v>
      </c>
      <c r="F24" s="70">
        <f>D24+E24</f>
        <v>0</v>
      </c>
      <c r="G24" s="82">
        <v>0</v>
      </c>
      <c r="H24" s="82" t="s">
        <v>131</v>
      </c>
      <c r="I24" s="82">
        <v>15</v>
      </c>
      <c r="J24" s="70">
        <v>0</v>
      </c>
      <c r="K24" s="70">
        <f>F24*I24/100</f>
        <v>0</v>
      </c>
      <c r="L24" s="70">
        <f>J24+K24</f>
        <v>0</v>
      </c>
      <c r="M24" s="83">
        <f>F24-L24</f>
        <v>0</v>
      </c>
      <c r="N24" s="83"/>
    </row>
    <row r="25" spans="2:14" hidden="1">
      <c r="D25" s="70"/>
      <c r="E25" s="70"/>
      <c r="F25" s="70"/>
      <c r="G25" s="70"/>
      <c r="H25" s="70"/>
      <c r="I25" s="70"/>
      <c r="J25" s="70"/>
      <c r="L25" s="70"/>
      <c r="M25" s="83"/>
      <c r="N25" s="83"/>
    </row>
    <row r="26" spans="2:14" hidden="1">
      <c r="B26" s="69" t="s">
        <v>135</v>
      </c>
      <c r="D26" s="70">
        <v>0</v>
      </c>
      <c r="E26" s="70">
        <v>0</v>
      </c>
      <c r="F26" s="70">
        <f>D26+E26</f>
        <v>0</v>
      </c>
      <c r="G26" s="82">
        <v>0</v>
      </c>
      <c r="H26" s="82" t="s">
        <v>131</v>
      </c>
      <c r="I26" s="82">
        <v>15</v>
      </c>
      <c r="J26" s="70">
        <v>0</v>
      </c>
      <c r="K26" s="70">
        <f>F26*I26/100</f>
        <v>0</v>
      </c>
      <c r="L26" s="70">
        <f>J26+K26</f>
        <v>0</v>
      </c>
      <c r="M26" s="83">
        <f>F26-L26</f>
        <v>0</v>
      </c>
      <c r="N26" s="83"/>
    </row>
    <row r="27" spans="2:14">
      <c r="D27" s="85"/>
      <c r="E27" s="85"/>
      <c r="F27" s="85"/>
      <c r="G27" s="85"/>
      <c r="H27" s="85"/>
      <c r="I27" s="85"/>
      <c r="J27" s="85"/>
      <c r="K27" s="85"/>
      <c r="L27" s="85"/>
      <c r="M27" s="85"/>
      <c r="N27" s="83"/>
    </row>
    <row r="28" spans="2:14" ht="16.5" thickBot="1">
      <c r="B28" s="488" t="s">
        <v>136</v>
      </c>
      <c r="C28" s="488"/>
      <c r="D28" s="70">
        <f>SUM(D12:D26)</f>
        <v>120735.2625</v>
      </c>
      <c r="E28" s="70">
        <f>SUM(E12:E26)</f>
        <v>0</v>
      </c>
      <c r="F28" s="70">
        <f>SUM(F12:F26)</f>
        <v>120735.2625</v>
      </c>
      <c r="G28" s="70"/>
      <c r="H28" s="70"/>
      <c r="I28" s="70"/>
      <c r="J28" s="70">
        <f>SUM(J12:J26)</f>
        <v>0</v>
      </c>
      <c r="K28" s="70">
        <f>SUM(K12:K26)+1</f>
        <v>19935.739374999997</v>
      </c>
      <c r="L28" s="70">
        <f>SUM(L12:L26)</f>
        <v>19935.739374999997</v>
      </c>
      <c r="M28" s="70">
        <f>SUM(M12:M26)</f>
        <v>100799.52312499999</v>
      </c>
      <c r="N28" s="83"/>
    </row>
    <row r="29" spans="2:14" ht="16.5" thickTop="1">
      <c r="B29" s="84"/>
      <c r="C29" s="71"/>
      <c r="D29" s="86"/>
      <c r="E29" s="86"/>
      <c r="F29" s="86"/>
      <c r="G29" s="86"/>
      <c r="H29" s="86"/>
      <c r="I29" s="86"/>
      <c r="J29" s="86"/>
      <c r="K29" s="86"/>
      <c r="L29" s="86"/>
      <c r="M29" s="87"/>
      <c r="N29" s="83"/>
    </row>
  </sheetData>
  <mergeCells count="9">
    <mergeCell ref="M8:M10"/>
    <mergeCell ref="G9:I10"/>
    <mergeCell ref="J9:J10"/>
    <mergeCell ref="K9:K10"/>
    <mergeCell ref="B28:C28"/>
    <mergeCell ref="B8:C10"/>
    <mergeCell ref="D8:D10"/>
    <mergeCell ref="E8:E10"/>
    <mergeCell ref="F8:F10"/>
  </mergeCells>
  <pageMargins left="0.36" right="0.7" top="0.75" bottom="0.75" header="0.3" footer="0.3"/>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D9"/>
  <sheetViews>
    <sheetView workbookViewId="0">
      <selection activeCell="D9" sqref="D9"/>
    </sheetView>
  </sheetViews>
  <sheetFormatPr defaultRowHeight="15"/>
  <cols>
    <col min="2" max="2" width="9.88671875" bestFit="1" customWidth="1"/>
    <col min="3" max="3" width="17" customWidth="1"/>
    <col min="4" max="4" width="18.77734375" bestFit="1" customWidth="1"/>
  </cols>
  <sheetData>
    <row r="1" spans="1:4" ht="15.75">
      <c r="A1" s="10" t="str">
        <f>+'Notes (2)'!B4</f>
        <v>ARIF LATIF SECURITIES (PVT) LIMITED</v>
      </c>
    </row>
    <row r="2" spans="1:4" ht="15.75">
      <c r="A2" s="10" t="s">
        <v>191</v>
      </c>
    </row>
    <row r="3" spans="1:4" ht="15.75">
      <c r="A3" s="10" t="str">
        <f>+'Notes (2)'!B6</f>
        <v>FOR THE YEAR ENDED JUNE 30, 2015</v>
      </c>
    </row>
    <row r="5" spans="1:4" ht="47.25">
      <c r="B5" s="89" t="s">
        <v>376</v>
      </c>
      <c r="C5" s="89" t="s">
        <v>144</v>
      </c>
      <c r="D5" s="181" t="s">
        <v>375</v>
      </c>
    </row>
    <row r="7" spans="1:4">
      <c r="B7" s="90">
        <f>+'TAX SCHEDULE'!M28</f>
        <v>100799.52312499999</v>
      </c>
      <c r="C7" s="409">
        <f>+'Fixed Assets'!K23</f>
        <v>126569.08699999998</v>
      </c>
      <c r="D7" s="90">
        <f>C7-B7</f>
        <v>25769.563874999993</v>
      </c>
    </row>
    <row r="9" spans="1:4" ht="15.75">
      <c r="C9" t="s">
        <v>558</v>
      </c>
      <c r="D9" s="10">
        <f>+D7*0.32</f>
        <v>8246.2604399999982</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tabColor rgb="FF92D050"/>
  </sheetPr>
  <dimension ref="B2:R122"/>
  <sheetViews>
    <sheetView zoomScaleNormal="100" workbookViewId="0">
      <pane xSplit="7" ySplit="7" topLeftCell="H8" activePane="bottomRight" state="frozen"/>
      <selection pane="topRight" activeCell="H1" sqref="H1"/>
      <selection pane="bottomLeft" activeCell="A8" sqref="A8"/>
      <selection pane="bottomRight" activeCell="K89" sqref="K89"/>
    </sheetView>
  </sheetViews>
  <sheetFormatPr defaultRowHeight="12.75"/>
  <cols>
    <col min="1" max="1" width="2.21875" style="315" customWidth="1"/>
    <col min="2" max="3" width="3.21875" style="315" bestFit="1" customWidth="1"/>
    <col min="4" max="4" width="3.5546875" style="315" bestFit="1" customWidth="1"/>
    <col min="5" max="5" width="24.5546875" style="315" bestFit="1" customWidth="1"/>
    <col min="6" max="7" width="24.5546875" style="315" customWidth="1"/>
    <col min="8" max="13" width="10.77734375" style="319" customWidth="1"/>
    <col min="14" max="16384" width="8.88671875" style="315"/>
  </cols>
  <sheetData>
    <row r="2" spans="2:13">
      <c r="B2" s="315" t="s">
        <v>356</v>
      </c>
    </row>
    <row r="3" spans="2:13">
      <c r="B3" s="315" t="s">
        <v>357</v>
      </c>
    </row>
    <row r="4" spans="2:13">
      <c r="B4" s="315" t="s">
        <v>358</v>
      </c>
    </row>
    <row r="5" spans="2:13" ht="13.5" thickBot="1">
      <c r="B5" s="315" t="s">
        <v>472</v>
      </c>
    </row>
    <row r="6" spans="2:13" ht="15" customHeight="1" thickTop="1">
      <c r="B6" s="449" t="s">
        <v>225</v>
      </c>
      <c r="C6" s="451" t="s">
        <v>409</v>
      </c>
      <c r="D6" s="451" t="s">
        <v>410</v>
      </c>
      <c r="E6" s="451" t="s">
        <v>226</v>
      </c>
      <c r="F6" s="451" t="s">
        <v>479</v>
      </c>
      <c r="G6" s="451" t="s">
        <v>480</v>
      </c>
      <c r="H6" s="447" t="s">
        <v>474</v>
      </c>
      <c r="I6" s="447"/>
      <c r="J6" s="447" t="s">
        <v>475</v>
      </c>
      <c r="K6" s="447"/>
      <c r="L6" s="447" t="s">
        <v>476</v>
      </c>
      <c r="M6" s="448"/>
    </row>
    <row r="7" spans="2:13" ht="13.5" hidden="1" thickBot="1">
      <c r="B7" s="450"/>
      <c r="C7" s="452"/>
      <c r="D7" s="452"/>
      <c r="E7" s="452"/>
      <c r="F7" s="452"/>
      <c r="G7" s="452"/>
      <c r="H7" s="320" t="s">
        <v>477</v>
      </c>
      <c r="I7" s="320" t="s">
        <v>478</v>
      </c>
      <c r="J7" s="320" t="s">
        <v>477</v>
      </c>
      <c r="K7" s="320" t="s">
        <v>478</v>
      </c>
      <c r="L7" s="320" t="s">
        <v>477</v>
      </c>
      <c r="M7" s="321" t="s">
        <v>478</v>
      </c>
    </row>
    <row r="8" spans="2:13" hidden="1">
      <c r="B8" s="315" t="s">
        <v>237</v>
      </c>
      <c r="C8" s="315" t="s">
        <v>237</v>
      </c>
      <c r="D8" s="315">
        <v>1</v>
      </c>
      <c r="E8" s="315" t="s">
        <v>238</v>
      </c>
      <c r="F8" s="315" t="s">
        <v>481</v>
      </c>
      <c r="G8" s="315" t="s">
        <v>481</v>
      </c>
      <c r="H8" s="319">
        <v>0</v>
      </c>
      <c r="I8" s="322">
        <v>10000000</v>
      </c>
      <c r="L8" s="319">
        <f>IF(H8+J8-I8-K8&gt;0,H8+J8-I8-K8,0)</f>
        <v>0</v>
      </c>
      <c r="M8" s="336">
        <f>IF(I8+K8-H8-J8&gt;0,I8+K8-H8-J8,0)</f>
        <v>10000000</v>
      </c>
    </row>
    <row r="9" spans="2:13" hidden="1">
      <c r="B9" s="315" t="s">
        <v>412</v>
      </c>
      <c r="C9" s="315" t="s">
        <v>412</v>
      </c>
      <c r="D9" s="315">
        <v>1</v>
      </c>
      <c r="E9" s="315" t="s">
        <v>413</v>
      </c>
      <c r="F9" s="315" t="s">
        <v>482</v>
      </c>
      <c r="G9" s="315" t="s">
        <v>482</v>
      </c>
      <c r="H9" s="319">
        <v>0</v>
      </c>
      <c r="I9" s="319">
        <v>1970879</v>
      </c>
      <c r="L9" s="319">
        <f t="shared" ref="L9:L72" si="0">IF(H9+J9-I9-K9&gt;0,H9+J9-I9-K9,0)</f>
        <v>0</v>
      </c>
      <c r="M9" s="336">
        <f t="shared" ref="M9:M72" si="1">IF(I9+K9-H9-J9&gt;0,I9+K9-H9-J9,0)</f>
        <v>1970879</v>
      </c>
    </row>
    <row r="10" spans="2:13" hidden="1">
      <c r="B10" s="315" t="s">
        <v>241</v>
      </c>
      <c r="C10" s="315" t="s">
        <v>419</v>
      </c>
      <c r="D10" s="315" t="s">
        <v>387</v>
      </c>
      <c r="E10" s="315" t="s">
        <v>420</v>
      </c>
      <c r="F10" s="315" t="s">
        <v>46</v>
      </c>
      <c r="G10" s="315" t="s">
        <v>84</v>
      </c>
      <c r="H10" s="319">
        <v>0</v>
      </c>
      <c r="I10" s="323">
        <v>13926.9</v>
      </c>
      <c r="J10" s="319">
        <v>7831</v>
      </c>
      <c r="L10" s="319">
        <f t="shared" si="0"/>
        <v>0</v>
      </c>
      <c r="M10" s="336">
        <f t="shared" si="1"/>
        <v>6095.9</v>
      </c>
    </row>
    <row r="11" spans="2:13" hidden="1">
      <c r="B11" s="315" t="s">
        <v>241</v>
      </c>
      <c r="C11" s="315" t="s">
        <v>299</v>
      </c>
      <c r="D11" s="315" t="s">
        <v>425</v>
      </c>
      <c r="E11" s="315" t="s">
        <v>243</v>
      </c>
      <c r="F11" s="315" t="s">
        <v>46</v>
      </c>
      <c r="G11" s="315" t="s">
        <v>84</v>
      </c>
      <c r="H11" s="319">
        <v>0</v>
      </c>
      <c r="I11" s="323">
        <v>64950.239999999998</v>
      </c>
      <c r="K11" s="319">
        <v>3438</v>
      </c>
      <c r="L11" s="319">
        <f t="shared" si="0"/>
        <v>0</v>
      </c>
      <c r="M11" s="336">
        <f t="shared" si="1"/>
        <v>68388.239999999991</v>
      </c>
    </row>
    <row r="12" spans="2:13" hidden="1">
      <c r="B12" s="315" t="s">
        <v>245</v>
      </c>
      <c r="C12" s="315" t="s">
        <v>245</v>
      </c>
      <c r="D12" s="315">
        <v>1</v>
      </c>
      <c r="E12" s="315" t="s">
        <v>246</v>
      </c>
      <c r="F12" s="315" t="s">
        <v>483</v>
      </c>
      <c r="G12" s="315" t="s">
        <v>484</v>
      </c>
      <c r="H12" s="322">
        <v>24327</v>
      </c>
      <c r="I12" s="319">
        <v>0</v>
      </c>
      <c r="L12" s="336">
        <f t="shared" si="0"/>
        <v>24327</v>
      </c>
      <c r="M12" s="319">
        <f t="shared" si="1"/>
        <v>0</v>
      </c>
    </row>
    <row r="13" spans="2:13" hidden="1">
      <c r="B13" s="315" t="s">
        <v>245</v>
      </c>
      <c r="C13" s="315" t="s">
        <v>245</v>
      </c>
      <c r="D13" s="315">
        <v>2</v>
      </c>
      <c r="E13" s="315" t="s">
        <v>112</v>
      </c>
      <c r="F13" s="315" t="s">
        <v>483</v>
      </c>
      <c r="G13" s="315" t="s">
        <v>485</v>
      </c>
      <c r="H13" s="322">
        <v>50466</v>
      </c>
      <c r="I13" s="319">
        <v>0</v>
      </c>
      <c r="L13" s="336">
        <f t="shared" si="0"/>
        <v>50466</v>
      </c>
      <c r="M13" s="319">
        <f t="shared" si="1"/>
        <v>0</v>
      </c>
    </row>
    <row r="14" spans="2:13" hidden="1">
      <c r="B14" s="315" t="s">
        <v>245</v>
      </c>
      <c r="C14" s="315" t="s">
        <v>245</v>
      </c>
      <c r="D14" s="315">
        <v>3</v>
      </c>
      <c r="E14" s="315" t="s">
        <v>248</v>
      </c>
      <c r="F14" s="315" t="s">
        <v>483</v>
      </c>
      <c r="G14" s="315" t="s">
        <v>196</v>
      </c>
      <c r="H14" s="322">
        <v>20100</v>
      </c>
      <c r="I14" s="319">
        <v>0</v>
      </c>
      <c r="L14" s="336">
        <f t="shared" si="0"/>
        <v>20100</v>
      </c>
      <c r="M14" s="319">
        <f t="shared" si="1"/>
        <v>0</v>
      </c>
    </row>
    <row r="15" spans="2:13" hidden="1">
      <c r="B15" s="315" t="s">
        <v>245</v>
      </c>
      <c r="C15" s="315" t="s">
        <v>245</v>
      </c>
      <c r="D15" s="315">
        <v>4</v>
      </c>
      <c r="E15" s="315" t="s">
        <v>249</v>
      </c>
      <c r="F15" s="315" t="s">
        <v>483</v>
      </c>
      <c r="G15" s="315" t="s">
        <v>486</v>
      </c>
      <c r="H15" s="322">
        <v>34165</v>
      </c>
      <c r="I15" s="319">
        <v>0</v>
      </c>
      <c r="L15" s="336">
        <f t="shared" si="0"/>
        <v>34165</v>
      </c>
      <c r="M15" s="319">
        <f t="shared" si="1"/>
        <v>0</v>
      </c>
    </row>
    <row r="16" spans="2:13" hidden="1">
      <c r="B16" s="315" t="s">
        <v>245</v>
      </c>
      <c r="C16" s="315" t="s">
        <v>245</v>
      </c>
      <c r="D16" s="315">
        <v>5</v>
      </c>
      <c r="E16" s="315" t="s">
        <v>250</v>
      </c>
      <c r="F16" s="315" t="s">
        <v>483</v>
      </c>
      <c r="G16" s="315" t="s">
        <v>113</v>
      </c>
      <c r="H16" s="322">
        <v>16982</v>
      </c>
      <c r="I16" s="319">
        <v>0</v>
      </c>
      <c r="L16" s="336">
        <f t="shared" si="0"/>
        <v>16982</v>
      </c>
      <c r="M16" s="319">
        <f t="shared" si="1"/>
        <v>0</v>
      </c>
    </row>
    <row r="17" spans="2:13" hidden="1">
      <c r="B17" s="315" t="s">
        <v>252</v>
      </c>
      <c r="C17" s="315" t="s">
        <v>245</v>
      </c>
      <c r="D17" s="315">
        <v>6</v>
      </c>
      <c r="E17" s="315" t="s">
        <v>253</v>
      </c>
      <c r="F17" s="315" t="s">
        <v>50</v>
      </c>
      <c r="G17" s="315" t="s">
        <v>50</v>
      </c>
      <c r="H17" s="322">
        <v>300000</v>
      </c>
      <c r="I17" s="319">
        <v>0</v>
      </c>
      <c r="L17" s="336">
        <f t="shared" si="0"/>
        <v>300000</v>
      </c>
      <c r="M17" s="319">
        <f t="shared" si="1"/>
        <v>0</v>
      </c>
    </row>
    <row r="18" spans="2:13" hidden="1">
      <c r="B18" s="315" t="s">
        <v>252</v>
      </c>
      <c r="C18" s="315" t="s">
        <v>245</v>
      </c>
      <c r="D18" s="315">
        <v>8</v>
      </c>
      <c r="E18" s="315" t="s">
        <v>254</v>
      </c>
      <c r="F18" s="315" t="s">
        <v>50</v>
      </c>
      <c r="G18" s="315" t="s">
        <v>50</v>
      </c>
      <c r="H18" s="322">
        <v>100000</v>
      </c>
      <c r="I18" s="319">
        <v>0</v>
      </c>
      <c r="L18" s="336">
        <f t="shared" si="0"/>
        <v>100000</v>
      </c>
      <c r="M18" s="319">
        <f t="shared" si="1"/>
        <v>0</v>
      </c>
    </row>
    <row r="19" spans="2:13" hidden="1">
      <c r="B19" s="315" t="s">
        <v>252</v>
      </c>
      <c r="C19" s="315" t="s">
        <v>245</v>
      </c>
      <c r="D19" s="315">
        <v>9</v>
      </c>
      <c r="E19" s="315" t="s">
        <v>122</v>
      </c>
      <c r="F19" s="315" t="s">
        <v>119</v>
      </c>
      <c r="G19" s="315" t="s">
        <v>119</v>
      </c>
      <c r="H19" s="322">
        <v>1241955</v>
      </c>
      <c r="I19" s="319">
        <v>0</v>
      </c>
      <c r="L19" s="336">
        <f t="shared" si="0"/>
        <v>1241955</v>
      </c>
      <c r="M19" s="319">
        <f t="shared" si="1"/>
        <v>0</v>
      </c>
    </row>
    <row r="20" spans="2:13" hidden="1">
      <c r="B20" s="315" t="s">
        <v>252</v>
      </c>
      <c r="C20" s="315" t="s">
        <v>245</v>
      </c>
      <c r="D20" s="315">
        <v>13</v>
      </c>
      <c r="E20" s="315" t="s">
        <v>146</v>
      </c>
      <c r="F20" s="315" t="s">
        <v>145</v>
      </c>
      <c r="G20" s="315" t="s">
        <v>145</v>
      </c>
      <c r="H20" s="322">
        <v>1758045</v>
      </c>
      <c r="I20" s="319">
        <v>0</v>
      </c>
      <c r="L20" s="336">
        <f t="shared" si="0"/>
        <v>1758045</v>
      </c>
      <c r="M20" s="319">
        <f t="shared" si="1"/>
        <v>0</v>
      </c>
    </row>
    <row r="21" spans="2:13" hidden="1">
      <c r="B21" s="315" t="s">
        <v>256</v>
      </c>
      <c r="C21" s="315">
        <v>0</v>
      </c>
      <c r="D21" s="315">
        <v>1</v>
      </c>
      <c r="E21" s="315" t="s">
        <v>257</v>
      </c>
      <c r="F21" s="315" t="s">
        <v>51</v>
      </c>
      <c r="G21" s="315" t="s">
        <v>51</v>
      </c>
      <c r="H21" s="322">
        <v>400000</v>
      </c>
      <c r="I21" s="322">
        <v>0</v>
      </c>
      <c r="L21" s="336">
        <f t="shared" si="0"/>
        <v>400000</v>
      </c>
      <c r="M21" s="319">
        <f t="shared" si="1"/>
        <v>0</v>
      </c>
    </row>
    <row r="22" spans="2:13" hidden="1">
      <c r="B22" s="315" t="s">
        <v>256</v>
      </c>
      <c r="C22" s="315">
        <v>0</v>
      </c>
      <c r="D22" s="315">
        <v>2</v>
      </c>
      <c r="E22" s="315" t="s">
        <v>258</v>
      </c>
      <c r="F22" s="315" t="s">
        <v>487</v>
      </c>
      <c r="G22" s="315" t="s">
        <v>487</v>
      </c>
      <c r="H22" s="322">
        <v>0</v>
      </c>
      <c r="I22" s="322">
        <v>28405913.25</v>
      </c>
      <c r="J22" s="319">
        <f>JV!F65</f>
        <v>305350</v>
      </c>
      <c r="K22" s="319">
        <f>JV!G50</f>
        <v>161136</v>
      </c>
      <c r="L22" s="336">
        <f t="shared" si="0"/>
        <v>0</v>
      </c>
      <c r="M22" s="336">
        <f t="shared" si="1"/>
        <v>28261699.25</v>
      </c>
    </row>
    <row r="23" spans="2:13" hidden="1">
      <c r="B23" s="315" t="s">
        <v>256</v>
      </c>
      <c r="C23" s="315">
        <v>0</v>
      </c>
      <c r="D23" s="315">
        <v>3</v>
      </c>
      <c r="E23" s="315" t="s">
        <v>427</v>
      </c>
      <c r="F23" s="315" t="s">
        <v>46</v>
      </c>
      <c r="G23" s="315" t="s">
        <v>488</v>
      </c>
      <c r="H23" s="322">
        <v>0</v>
      </c>
      <c r="I23" s="322">
        <v>3599.5</v>
      </c>
      <c r="L23" s="336">
        <f t="shared" si="0"/>
        <v>0</v>
      </c>
      <c r="M23" s="336">
        <f t="shared" si="1"/>
        <v>3599.5</v>
      </c>
    </row>
    <row r="24" spans="2:13" hidden="1">
      <c r="B24" s="315" t="s">
        <v>256</v>
      </c>
      <c r="C24" s="315">
        <v>0</v>
      </c>
      <c r="D24" s="315">
        <v>6</v>
      </c>
      <c r="E24" s="315" t="s">
        <v>260</v>
      </c>
      <c r="F24" s="315" t="s">
        <v>51</v>
      </c>
      <c r="G24" s="315" t="s">
        <v>51</v>
      </c>
      <c r="H24" s="322">
        <v>30000</v>
      </c>
      <c r="I24" s="322">
        <v>0</v>
      </c>
      <c r="L24" s="336">
        <f t="shared" si="0"/>
        <v>30000</v>
      </c>
      <c r="M24" s="336">
        <f t="shared" si="1"/>
        <v>0</v>
      </c>
    </row>
    <row r="25" spans="2:13" hidden="1">
      <c r="B25" s="315" t="s">
        <v>256</v>
      </c>
      <c r="C25" s="315">
        <v>0</v>
      </c>
      <c r="D25" s="315">
        <v>7</v>
      </c>
      <c r="E25" s="315" t="s">
        <v>261</v>
      </c>
      <c r="F25" s="315" t="s">
        <v>51</v>
      </c>
      <c r="G25" s="315" t="s">
        <v>51</v>
      </c>
      <c r="H25" s="322">
        <v>718314.04</v>
      </c>
      <c r="I25" s="322">
        <v>0</v>
      </c>
      <c r="L25" s="336">
        <f t="shared" si="0"/>
        <v>718314.04</v>
      </c>
      <c r="M25" s="336">
        <f t="shared" si="1"/>
        <v>0</v>
      </c>
    </row>
    <row r="26" spans="2:13" hidden="1">
      <c r="B26" s="315" t="s">
        <v>256</v>
      </c>
      <c r="C26" s="315">
        <v>0</v>
      </c>
      <c r="D26" s="315">
        <v>9</v>
      </c>
      <c r="E26" s="315" t="s">
        <v>262</v>
      </c>
      <c r="F26" s="315" t="s">
        <v>46</v>
      </c>
      <c r="G26" s="315" t="s">
        <v>488</v>
      </c>
      <c r="H26" s="322">
        <v>0</v>
      </c>
      <c r="I26" s="322">
        <v>65740.820000000007</v>
      </c>
      <c r="L26" s="336">
        <f t="shared" si="0"/>
        <v>0</v>
      </c>
      <c r="M26" s="336">
        <f t="shared" si="1"/>
        <v>65740.820000000007</v>
      </c>
    </row>
    <row r="27" spans="2:13" hidden="1">
      <c r="B27" s="315" t="s">
        <v>256</v>
      </c>
      <c r="C27" s="315">
        <v>1</v>
      </c>
      <c r="D27" s="315">
        <v>1</v>
      </c>
      <c r="E27" s="315" t="s">
        <v>263</v>
      </c>
      <c r="F27" s="315" t="s">
        <v>46</v>
      </c>
      <c r="G27" s="315" t="s">
        <v>488</v>
      </c>
      <c r="H27" s="322">
        <v>0</v>
      </c>
      <c r="I27" s="322">
        <v>1768.87</v>
      </c>
      <c r="L27" s="336">
        <f t="shared" si="0"/>
        <v>0</v>
      </c>
      <c r="M27" s="336">
        <f t="shared" si="1"/>
        <v>1768.87</v>
      </c>
    </row>
    <row r="28" spans="2:13" hidden="1">
      <c r="B28" s="315" t="s">
        <v>256</v>
      </c>
      <c r="C28" s="315">
        <v>1</v>
      </c>
      <c r="D28" s="315">
        <v>2</v>
      </c>
      <c r="E28" s="315" t="s">
        <v>264</v>
      </c>
      <c r="F28" s="315" t="s">
        <v>46</v>
      </c>
      <c r="G28" s="315" t="s">
        <v>488</v>
      </c>
      <c r="H28" s="322">
        <v>0</v>
      </c>
      <c r="I28" s="322">
        <v>0</v>
      </c>
      <c r="L28" s="336">
        <f t="shared" si="0"/>
        <v>0</v>
      </c>
      <c r="M28" s="338">
        <f t="shared" si="1"/>
        <v>0</v>
      </c>
    </row>
    <row r="29" spans="2:13" hidden="1">
      <c r="B29" s="315" t="s">
        <v>256</v>
      </c>
      <c r="C29" s="315">
        <v>1</v>
      </c>
      <c r="D29" s="315">
        <v>3</v>
      </c>
      <c r="E29" s="315" t="s">
        <v>265</v>
      </c>
      <c r="F29" s="315" t="s">
        <v>46</v>
      </c>
      <c r="G29" s="315" t="s">
        <v>488</v>
      </c>
      <c r="H29" s="322">
        <v>0</v>
      </c>
      <c r="I29" s="322">
        <v>447065.8</v>
      </c>
      <c r="L29" s="336">
        <f t="shared" si="0"/>
        <v>0</v>
      </c>
      <c r="M29" s="336">
        <f t="shared" si="1"/>
        <v>447065.8</v>
      </c>
    </row>
    <row r="30" spans="2:13" hidden="1">
      <c r="B30" s="315" t="s">
        <v>256</v>
      </c>
      <c r="C30" s="315">
        <v>1</v>
      </c>
      <c r="D30" s="315">
        <v>4</v>
      </c>
      <c r="E30" s="315" t="s">
        <v>215</v>
      </c>
      <c r="F30" s="315" t="s">
        <v>51</v>
      </c>
      <c r="G30" s="315" t="s">
        <v>51</v>
      </c>
      <c r="H30" s="322">
        <v>11831826.68</v>
      </c>
      <c r="I30" s="322">
        <v>0</v>
      </c>
      <c r="L30" s="336">
        <f t="shared" si="0"/>
        <v>11831826.68</v>
      </c>
      <c r="M30" s="336">
        <f t="shared" si="1"/>
        <v>0</v>
      </c>
    </row>
    <row r="31" spans="2:13" hidden="1">
      <c r="B31" s="315" t="s">
        <v>256</v>
      </c>
      <c r="C31" s="315">
        <v>1</v>
      </c>
      <c r="D31" s="315">
        <v>5</v>
      </c>
      <c r="E31" s="315" t="s">
        <v>266</v>
      </c>
      <c r="F31" s="315" t="s">
        <v>46</v>
      </c>
      <c r="G31" s="315" t="s">
        <v>488</v>
      </c>
      <c r="H31" s="322">
        <v>0</v>
      </c>
      <c r="I31" s="322">
        <v>829977.17</v>
      </c>
      <c r="L31" s="336">
        <f t="shared" si="0"/>
        <v>0</v>
      </c>
      <c r="M31" s="336">
        <f t="shared" si="1"/>
        <v>829977.17</v>
      </c>
    </row>
    <row r="32" spans="2:13" hidden="1">
      <c r="B32" s="315" t="s">
        <v>256</v>
      </c>
      <c r="C32" s="315">
        <v>1</v>
      </c>
      <c r="D32" s="315">
        <v>8</v>
      </c>
      <c r="E32" s="315" t="s">
        <v>267</v>
      </c>
      <c r="F32" s="315" t="s">
        <v>46</v>
      </c>
      <c r="G32" s="315" t="s">
        <v>488</v>
      </c>
      <c r="H32" s="322">
        <v>0</v>
      </c>
      <c r="I32" s="322">
        <v>9423926.1300000008</v>
      </c>
      <c r="J32" s="322">
        <v>127608</v>
      </c>
      <c r="L32" s="336">
        <f t="shared" si="0"/>
        <v>0</v>
      </c>
      <c r="M32" s="336">
        <f t="shared" si="1"/>
        <v>9296318.1300000008</v>
      </c>
    </row>
    <row r="33" spans="2:13" hidden="1">
      <c r="B33" s="315" t="s">
        <v>256</v>
      </c>
      <c r="C33" s="315">
        <v>2</v>
      </c>
      <c r="D33" s="315">
        <v>3</v>
      </c>
      <c r="E33" s="315" t="s">
        <v>268</v>
      </c>
      <c r="F33" s="315" t="s">
        <v>46</v>
      </c>
      <c r="G33" s="315" t="s">
        <v>488</v>
      </c>
      <c r="H33" s="322">
        <v>0</v>
      </c>
      <c r="I33" s="322">
        <v>349782.3</v>
      </c>
      <c r="L33" s="336">
        <f t="shared" si="0"/>
        <v>0</v>
      </c>
      <c r="M33" s="336">
        <f t="shared" si="1"/>
        <v>349782.3</v>
      </c>
    </row>
    <row r="34" spans="2:13" hidden="1">
      <c r="B34" s="315" t="s">
        <v>256</v>
      </c>
      <c r="C34" s="315">
        <v>3</v>
      </c>
      <c r="D34" s="315">
        <v>1</v>
      </c>
      <c r="E34" s="315" t="s">
        <v>269</v>
      </c>
      <c r="F34" s="315" t="s">
        <v>51</v>
      </c>
      <c r="G34" s="315" t="s">
        <v>51</v>
      </c>
      <c r="H34" s="322">
        <v>30000</v>
      </c>
      <c r="I34" s="322">
        <v>0</v>
      </c>
      <c r="L34" s="336">
        <f t="shared" si="0"/>
        <v>30000</v>
      </c>
      <c r="M34" s="336">
        <f t="shared" si="1"/>
        <v>0</v>
      </c>
    </row>
    <row r="35" spans="2:13" hidden="1">
      <c r="B35" s="315" t="s">
        <v>256</v>
      </c>
      <c r="C35" s="315">
        <v>3</v>
      </c>
      <c r="D35" s="315">
        <v>4</v>
      </c>
      <c r="E35" s="315" t="s">
        <v>270</v>
      </c>
      <c r="F35" s="315" t="s">
        <v>46</v>
      </c>
      <c r="G35" s="315" t="s">
        <v>488</v>
      </c>
      <c r="H35" s="322">
        <v>0</v>
      </c>
      <c r="I35" s="322">
        <v>42433.599999999999</v>
      </c>
      <c r="L35" s="336">
        <f t="shared" si="0"/>
        <v>0</v>
      </c>
      <c r="M35" s="336">
        <f t="shared" si="1"/>
        <v>42433.599999999999</v>
      </c>
    </row>
    <row r="36" spans="2:13" hidden="1">
      <c r="B36" s="315" t="s">
        <v>256</v>
      </c>
      <c r="C36" s="315">
        <v>3</v>
      </c>
      <c r="D36" s="315">
        <v>8</v>
      </c>
      <c r="E36" s="315" t="s">
        <v>271</v>
      </c>
      <c r="F36" s="315" t="s">
        <v>46</v>
      </c>
      <c r="G36" s="315" t="s">
        <v>488</v>
      </c>
      <c r="H36" s="322">
        <v>0</v>
      </c>
      <c r="I36" s="322">
        <v>1553.28</v>
      </c>
      <c r="L36" s="336">
        <f t="shared" si="0"/>
        <v>0</v>
      </c>
      <c r="M36" s="336">
        <f t="shared" si="1"/>
        <v>1553.28</v>
      </c>
    </row>
    <row r="37" spans="2:13" hidden="1">
      <c r="B37" s="315" t="s">
        <v>256</v>
      </c>
      <c r="C37" s="315">
        <v>5</v>
      </c>
      <c r="D37" s="315">
        <v>6</v>
      </c>
      <c r="E37" s="315" t="s">
        <v>272</v>
      </c>
      <c r="F37" s="315" t="s">
        <v>46</v>
      </c>
      <c r="G37" s="315" t="s">
        <v>488</v>
      </c>
      <c r="H37" s="322">
        <v>0</v>
      </c>
      <c r="I37" s="322">
        <v>0</v>
      </c>
      <c r="L37" s="336">
        <f t="shared" si="0"/>
        <v>0</v>
      </c>
      <c r="M37" s="336">
        <f t="shared" si="1"/>
        <v>0</v>
      </c>
    </row>
    <row r="38" spans="2:13" hidden="1">
      <c r="B38" s="315" t="s">
        <v>256</v>
      </c>
      <c r="C38" s="315">
        <v>8</v>
      </c>
      <c r="D38" s="315">
        <v>2</v>
      </c>
      <c r="E38" s="315" t="s">
        <v>273</v>
      </c>
      <c r="F38" s="315" t="s">
        <v>51</v>
      </c>
      <c r="G38" s="315" t="s">
        <v>51</v>
      </c>
      <c r="H38" s="322">
        <v>255451.99</v>
      </c>
      <c r="I38" s="322">
        <v>0</v>
      </c>
      <c r="L38" s="336">
        <f t="shared" si="0"/>
        <v>255451.99</v>
      </c>
      <c r="M38" s="336">
        <f t="shared" si="1"/>
        <v>0</v>
      </c>
    </row>
    <row r="39" spans="2:13" hidden="1">
      <c r="B39" s="315" t="s">
        <v>256</v>
      </c>
      <c r="C39" s="315">
        <v>13</v>
      </c>
      <c r="D39" s="315">
        <v>3</v>
      </c>
      <c r="E39" s="315" t="s">
        <v>274</v>
      </c>
      <c r="F39" s="315" t="s">
        <v>46</v>
      </c>
      <c r="G39" s="315" t="s">
        <v>488</v>
      </c>
      <c r="H39" s="322">
        <v>0</v>
      </c>
      <c r="I39" s="322">
        <v>206593.45</v>
      </c>
      <c r="L39" s="336">
        <f t="shared" si="0"/>
        <v>0</v>
      </c>
      <c r="M39" s="336">
        <f t="shared" si="1"/>
        <v>206593.45</v>
      </c>
    </row>
    <row r="40" spans="2:13" hidden="1">
      <c r="B40" s="315" t="s">
        <v>256</v>
      </c>
      <c r="C40" s="315">
        <v>16</v>
      </c>
      <c r="D40" s="315">
        <v>2</v>
      </c>
      <c r="E40" s="315" t="s">
        <v>275</v>
      </c>
      <c r="F40" s="315" t="s">
        <v>46</v>
      </c>
      <c r="G40" s="315" t="s">
        <v>488</v>
      </c>
      <c r="H40" s="322">
        <v>0</v>
      </c>
      <c r="I40" s="322">
        <v>84264.960000000006</v>
      </c>
      <c r="L40" s="336">
        <f t="shared" si="0"/>
        <v>0</v>
      </c>
      <c r="M40" s="336">
        <f t="shared" si="1"/>
        <v>84264.960000000006</v>
      </c>
    </row>
    <row r="41" spans="2:13" hidden="1">
      <c r="B41" s="315" t="s">
        <v>256</v>
      </c>
      <c r="C41" s="315">
        <v>20</v>
      </c>
      <c r="D41" s="315">
        <v>1</v>
      </c>
      <c r="E41" s="315" t="s">
        <v>428</v>
      </c>
      <c r="F41" s="315" t="s">
        <v>46</v>
      </c>
      <c r="G41" s="315" t="s">
        <v>488</v>
      </c>
      <c r="H41" s="322">
        <v>0</v>
      </c>
      <c r="I41" s="322">
        <v>8244.4699999999993</v>
      </c>
      <c r="L41" s="336">
        <f t="shared" si="0"/>
        <v>0</v>
      </c>
      <c r="M41" s="336">
        <f t="shared" si="1"/>
        <v>8244.4699999999993</v>
      </c>
    </row>
    <row r="42" spans="2:13" hidden="1">
      <c r="B42" s="315" t="s">
        <v>256</v>
      </c>
      <c r="C42" s="315">
        <v>20</v>
      </c>
      <c r="D42" s="315">
        <v>9</v>
      </c>
      <c r="E42" s="315" t="s">
        <v>276</v>
      </c>
      <c r="F42" s="315" t="s">
        <v>46</v>
      </c>
      <c r="G42" s="315" t="s">
        <v>488</v>
      </c>
      <c r="H42" s="322">
        <v>0</v>
      </c>
      <c r="I42" s="322">
        <v>0</v>
      </c>
      <c r="L42" s="336">
        <f t="shared" si="0"/>
        <v>0</v>
      </c>
      <c r="M42" s="336">
        <f t="shared" si="1"/>
        <v>0</v>
      </c>
    </row>
    <row r="43" spans="2:13" hidden="1">
      <c r="B43" s="315" t="s">
        <v>256</v>
      </c>
      <c r="C43" s="315">
        <v>21</v>
      </c>
      <c r="D43" s="315">
        <v>3</v>
      </c>
      <c r="E43" s="315" t="s">
        <v>277</v>
      </c>
      <c r="F43" s="315" t="s">
        <v>46</v>
      </c>
      <c r="G43" s="315" t="s">
        <v>488</v>
      </c>
      <c r="H43" s="322">
        <v>0</v>
      </c>
      <c r="I43" s="322">
        <v>161857.46</v>
      </c>
      <c r="L43" s="336">
        <f t="shared" si="0"/>
        <v>0</v>
      </c>
      <c r="M43" s="336">
        <f t="shared" si="1"/>
        <v>161857.46</v>
      </c>
    </row>
    <row r="44" spans="2:13" hidden="1">
      <c r="B44" s="315" t="s">
        <v>256</v>
      </c>
      <c r="C44" s="315">
        <v>21</v>
      </c>
      <c r="D44" s="315">
        <v>4</v>
      </c>
      <c r="E44" s="315" t="s">
        <v>278</v>
      </c>
      <c r="F44" s="315" t="s">
        <v>51</v>
      </c>
      <c r="G44" s="315" t="s">
        <v>51</v>
      </c>
      <c r="H44" s="322">
        <v>659198.91</v>
      </c>
      <c r="I44" s="322">
        <v>0</v>
      </c>
      <c r="L44" s="336">
        <f t="shared" si="0"/>
        <v>659198.91</v>
      </c>
      <c r="M44" s="336">
        <f t="shared" si="1"/>
        <v>0</v>
      </c>
    </row>
    <row r="45" spans="2:13" hidden="1">
      <c r="B45" s="315" t="s">
        <v>256</v>
      </c>
      <c r="C45" s="315">
        <v>24</v>
      </c>
      <c r="D45" s="315">
        <v>6</v>
      </c>
      <c r="E45" s="315" t="s">
        <v>279</v>
      </c>
      <c r="F45" s="315" t="s">
        <v>51</v>
      </c>
      <c r="G45" s="315" t="s">
        <v>51</v>
      </c>
      <c r="H45" s="322">
        <v>6032.37</v>
      </c>
      <c r="I45" s="322">
        <v>0</v>
      </c>
      <c r="L45" s="336">
        <f t="shared" si="0"/>
        <v>6032.37</v>
      </c>
      <c r="M45" s="336">
        <f t="shared" si="1"/>
        <v>0</v>
      </c>
    </row>
    <row r="46" spans="2:13" hidden="1">
      <c r="B46" s="315" t="s">
        <v>256</v>
      </c>
      <c r="C46" s="315">
        <v>37</v>
      </c>
      <c r="D46" s="315">
        <v>7</v>
      </c>
      <c r="E46" s="315" t="s">
        <v>408</v>
      </c>
      <c r="F46" s="315" t="s">
        <v>51</v>
      </c>
      <c r="G46" s="315" t="s">
        <v>51</v>
      </c>
      <c r="H46" s="322">
        <v>1500</v>
      </c>
      <c r="I46" s="322">
        <v>0</v>
      </c>
      <c r="L46" s="336">
        <f t="shared" si="0"/>
        <v>1500</v>
      </c>
      <c r="M46" s="336">
        <f t="shared" si="1"/>
        <v>0</v>
      </c>
    </row>
    <row r="47" spans="2:13" hidden="1">
      <c r="B47" s="315" t="s">
        <v>256</v>
      </c>
      <c r="C47" s="315">
        <v>39</v>
      </c>
      <c r="D47" s="315" t="s">
        <v>429</v>
      </c>
      <c r="E47" s="315" t="s">
        <v>280</v>
      </c>
      <c r="F47" s="315" t="s">
        <v>51</v>
      </c>
      <c r="G47" s="315" t="s">
        <v>51</v>
      </c>
      <c r="H47" s="322">
        <v>0</v>
      </c>
      <c r="I47" s="322">
        <v>0</v>
      </c>
      <c r="L47" s="336">
        <f t="shared" si="0"/>
        <v>0</v>
      </c>
      <c r="M47" s="336">
        <f t="shared" si="1"/>
        <v>0</v>
      </c>
    </row>
    <row r="48" spans="2:13" hidden="1">
      <c r="B48" s="315" t="s">
        <v>256</v>
      </c>
      <c r="C48" s="315">
        <v>43</v>
      </c>
      <c r="D48" s="315">
        <v>0</v>
      </c>
      <c r="E48" s="315" t="s">
        <v>430</v>
      </c>
      <c r="F48" s="315" t="s">
        <v>51</v>
      </c>
      <c r="G48" s="315" t="s">
        <v>51</v>
      </c>
      <c r="H48" s="322">
        <v>1500</v>
      </c>
      <c r="I48" s="322">
        <v>0</v>
      </c>
      <c r="L48" s="336">
        <f t="shared" si="0"/>
        <v>1500</v>
      </c>
      <c r="M48" s="336">
        <f t="shared" si="1"/>
        <v>0</v>
      </c>
    </row>
    <row r="49" spans="2:13" hidden="1">
      <c r="B49" s="315" t="s">
        <v>256</v>
      </c>
      <c r="C49" s="315">
        <v>43</v>
      </c>
      <c r="D49" s="315">
        <v>5</v>
      </c>
      <c r="E49" s="315" t="s">
        <v>281</v>
      </c>
      <c r="F49" s="315" t="s">
        <v>51</v>
      </c>
      <c r="G49" s="315" t="s">
        <v>51</v>
      </c>
      <c r="H49" s="322">
        <v>0</v>
      </c>
      <c r="I49" s="322">
        <v>0</v>
      </c>
      <c r="L49" s="336">
        <f t="shared" si="0"/>
        <v>0</v>
      </c>
      <c r="M49" s="336">
        <f t="shared" si="1"/>
        <v>0</v>
      </c>
    </row>
    <row r="50" spans="2:13" hidden="1">
      <c r="B50" s="315" t="s">
        <v>256</v>
      </c>
      <c r="C50" s="315">
        <v>45</v>
      </c>
      <c r="D50" s="315">
        <v>7</v>
      </c>
      <c r="E50" s="315" t="s">
        <v>282</v>
      </c>
      <c r="F50" s="315" t="s">
        <v>46</v>
      </c>
      <c r="G50" s="315" t="s">
        <v>488</v>
      </c>
      <c r="H50" s="322">
        <v>0</v>
      </c>
      <c r="I50" s="322">
        <v>427961.38</v>
      </c>
      <c r="L50" s="336">
        <f t="shared" si="0"/>
        <v>0</v>
      </c>
      <c r="M50" s="336">
        <f t="shared" si="1"/>
        <v>427961.38</v>
      </c>
    </row>
    <row r="51" spans="2:13" hidden="1">
      <c r="B51" s="315" t="s">
        <v>256</v>
      </c>
      <c r="C51" s="315">
        <v>47</v>
      </c>
      <c r="D51" s="315">
        <v>9</v>
      </c>
      <c r="E51" s="315" t="s">
        <v>283</v>
      </c>
      <c r="F51" s="315" t="s">
        <v>46</v>
      </c>
      <c r="G51" s="315" t="s">
        <v>488</v>
      </c>
      <c r="H51" s="322">
        <v>0</v>
      </c>
      <c r="I51" s="322">
        <v>56490.61</v>
      </c>
      <c r="L51" s="336">
        <f t="shared" si="0"/>
        <v>0</v>
      </c>
      <c r="M51" s="336">
        <f t="shared" si="1"/>
        <v>56490.61</v>
      </c>
    </row>
    <row r="52" spans="2:13" hidden="1">
      <c r="B52" s="315" t="s">
        <v>256</v>
      </c>
      <c r="C52" s="315">
        <v>48</v>
      </c>
      <c r="D52" s="315">
        <v>0</v>
      </c>
      <c r="E52" s="315" t="s">
        <v>218</v>
      </c>
      <c r="F52" s="315" t="s">
        <v>46</v>
      </c>
      <c r="G52" s="315" t="s">
        <v>488</v>
      </c>
      <c r="H52" s="322">
        <v>0.4</v>
      </c>
      <c r="I52" s="322">
        <v>0</v>
      </c>
      <c r="L52" s="336">
        <f t="shared" si="0"/>
        <v>0.4</v>
      </c>
      <c r="M52" s="336">
        <f t="shared" si="1"/>
        <v>0</v>
      </c>
    </row>
    <row r="53" spans="2:13" hidden="1">
      <c r="B53" s="315" t="s">
        <v>256</v>
      </c>
      <c r="C53" s="315">
        <v>48</v>
      </c>
      <c r="D53" s="315">
        <v>1</v>
      </c>
      <c r="E53" s="315" t="s">
        <v>284</v>
      </c>
      <c r="F53" s="315" t="s">
        <v>46</v>
      </c>
      <c r="G53" s="315" t="s">
        <v>488</v>
      </c>
      <c r="H53" s="322">
        <v>0</v>
      </c>
      <c r="I53" s="322">
        <v>0</v>
      </c>
      <c r="L53" s="336">
        <f t="shared" si="0"/>
        <v>0</v>
      </c>
      <c r="M53" s="336">
        <f t="shared" si="1"/>
        <v>0</v>
      </c>
    </row>
    <row r="54" spans="2:13" hidden="1">
      <c r="B54" s="315" t="s">
        <v>256</v>
      </c>
      <c r="C54" s="315">
        <v>48</v>
      </c>
      <c r="D54" s="315">
        <v>2</v>
      </c>
      <c r="E54" s="315" t="s">
        <v>432</v>
      </c>
      <c r="F54" s="315" t="s">
        <v>51</v>
      </c>
      <c r="G54" s="315" t="s">
        <v>51</v>
      </c>
      <c r="H54" s="322">
        <v>10.16</v>
      </c>
      <c r="I54" s="322">
        <v>0</v>
      </c>
      <c r="L54" s="336">
        <f t="shared" si="0"/>
        <v>10.16</v>
      </c>
      <c r="M54" s="336">
        <f t="shared" si="1"/>
        <v>0</v>
      </c>
    </row>
    <row r="55" spans="2:13" hidden="1">
      <c r="B55" s="315" t="s">
        <v>256</v>
      </c>
      <c r="C55" s="315">
        <v>48</v>
      </c>
      <c r="D55" s="315">
        <v>7</v>
      </c>
      <c r="E55" s="315" t="s">
        <v>285</v>
      </c>
      <c r="F55" s="315" t="s">
        <v>51</v>
      </c>
      <c r="G55" s="315" t="s">
        <v>51</v>
      </c>
      <c r="H55" s="322">
        <v>3334.78</v>
      </c>
      <c r="I55" s="322">
        <v>0</v>
      </c>
      <c r="L55" s="336">
        <f t="shared" si="0"/>
        <v>3334.78</v>
      </c>
      <c r="M55" s="336">
        <f t="shared" si="1"/>
        <v>0</v>
      </c>
    </row>
    <row r="56" spans="2:13" hidden="1">
      <c r="B56" s="315" t="s">
        <v>256</v>
      </c>
      <c r="C56" s="315">
        <v>49</v>
      </c>
      <c r="D56" s="315">
        <v>0</v>
      </c>
      <c r="E56" s="315" t="s">
        <v>286</v>
      </c>
      <c r="F56" s="315" t="s">
        <v>46</v>
      </c>
      <c r="G56" s="315" t="s">
        <v>488</v>
      </c>
      <c r="H56" s="322">
        <v>0</v>
      </c>
      <c r="I56" s="322">
        <v>72441.89</v>
      </c>
      <c r="L56" s="336">
        <f t="shared" si="0"/>
        <v>0</v>
      </c>
      <c r="M56" s="336">
        <f t="shared" si="1"/>
        <v>72441.89</v>
      </c>
    </row>
    <row r="57" spans="2:13" hidden="1">
      <c r="B57" s="315" t="s">
        <v>256</v>
      </c>
      <c r="C57" s="315">
        <v>49</v>
      </c>
      <c r="D57" s="315">
        <v>4</v>
      </c>
      <c r="E57" s="315" t="s">
        <v>287</v>
      </c>
      <c r="F57" s="315" t="s">
        <v>51</v>
      </c>
      <c r="G57" s="315" t="s">
        <v>51</v>
      </c>
      <c r="H57" s="322">
        <v>32112.98</v>
      </c>
      <c r="I57" s="322">
        <v>0</v>
      </c>
      <c r="L57" s="336">
        <f t="shared" si="0"/>
        <v>32112.98</v>
      </c>
      <c r="M57" s="336">
        <f t="shared" si="1"/>
        <v>0</v>
      </c>
    </row>
    <row r="58" spans="2:13" hidden="1">
      <c r="B58" s="315" t="s">
        <v>256</v>
      </c>
      <c r="C58" s="315">
        <v>49</v>
      </c>
      <c r="D58" s="315">
        <v>5</v>
      </c>
      <c r="E58" s="315" t="s">
        <v>288</v>
      </c>
      <c r="F58" s="315" t="s">
        <v>51</v>
      </c>
      <c r="G58" s="315" t="s">
        <v>51</v>
      </c>
      <c r="H58" s="322">
        <v>1499.3</v>
      </c>
      <c r="I58" s="322">
        <v>0</v>
      </c>
      <c r="L58" s="336">
        <f t="shared" si="0"/>
        <v>1499.3</v>
      </c>
      <c r="M58" s="336">
        <f t="shared" si="1"/>
        <v>0</v>
      </c>
    </row>
    <row r="59" spans="2:13" hidden="1">
      <c r="B59" s="315" t="s">
        <v>256</v>
      </c>
      <c r="C59" s="315">
        <v>49</v>
      </c>
      <c r="D59" s="315">
        <v>9</v>
      </c>
      <c r="E59" s="315" t="s">
        <v>289</v>
      </c>
      <c r="F59" s="315" t="s">
        <v>46</v>
      </c>
      <c r="G59" s="315" t="s">
        <v>488</v>
      </c>
      <c r="H59" s="322">
        <v>0</v>
      </c>
      <c r="I59" s="322">
        <v>6545.01</v>
      </c>
      <c r="L59" s="336">
        <f t="shared" si="0"/>
        <v>0</v>
      </c>
      <c r="M59" s="336">
        <f t="shared" si="1"/>
        <v>6545.01</v>
      </c>
    </row>
    <row r="60" spans="2:13" hidden="1">
      <c r="B60" s="315" t="s">
        <v>256</v>
      </c>
      <c r="C60" s="315">
        <v>50</v>
      </c>
      <c r="D60" s="315">
        <v>1</v>
      </c>
      <c r="E60" s="315" t="s">
        <v>290</v>
      </c>
      <c r="F60" s="315" t="s">
        <v>46</v>
      </c>
      <c r="G60" s="315" t="s">
        <v>488</v>
      </c>
      <c r="H60" s="322">
        <v>0</v>
      </c>
      <c r="I60" s="322">
        <v>2565549.31</v>
      </c>
      <c r="L60" s="336">
        <f t="shared" si="0"/>
        <v>0</v>
      </c>
      <c r="M60" s="336">
        <f t="shared" si="1"/>
        <v>2565549.31</v>
      </c>
    </row>
    <row r="61" spans="2:13" hidden="1">
      <c r="B61" s="315" t="s">
        <v>256</v>
      </c>
      <c r="C61" s="315">
        <v>50</v>
      </c>
      <c r="D61" s="315">
        <v>4</v>
      </c>
      <c r="E61" s="315" t="s">
        <v>291</v>
      </c>
      <c r="F61" s="315" t="s">
        <v>51</v>
      </c>
      <c r="G61" s="315" t="s">
        <v>51</v>
      </c>
      <c r="H61" s="322">
        <v>3213.02</v>
      </c>
      <c r="I61" s="322">
        <v>0</v>
      </c>
      <c r="L61" s="336">
        <f t="shared" si="0"/>
        <v>3213.02</v>
      </c>
      <c r="M61" s="336">
        <f t="shared" si="1"/>
        <v>0</v>
      </c>
    </row>
    <row r="62" spans="2:13" hidden="1">
      <c r="B62" s="315" t="s">
        <v>256</v>
      </c>
      <c r="C62" s="315">
        <v>50</v>
      </c>
      <c r="D62" s="315">
        <v>7</v>
      </c>
      <c r="E62" s="315" t="s">
        <v>292</v>
      </c>
      <c r="F62" s="315" t="s">
        <v>51</v>
      </c>
      <c r="G62" s="315" t="s">
        <v>51</v>
      </c>
      <c r="H62" s="322">
        <v>0</v>
      </c>
      <c r="I62" s="322">
        <v>0</v>
      </c>
      <c r="L62" s="336">
        <f t="shared" si="0"/>
        <v>0</v>
      </c>
      <c r="M62" s="336">
        <f t="shared" si="1"/>
        <v>0</v>
      </c>
    </row>
    <row r="63" spans="2:13" hidden="1">
      <c r="B63" s="315" t="s">
        <v>256</v>
      </c>
      <c r="C63" s="315">
        <v>52</v>
      </c>
      <c r="D63" s="315">
        <v>1</v>
      </c>
      <c r="E63" s="315" t="s">
        <v>293</v>
      </c>
      <c r="F63" s="315" t="s">
        <v>51</v>
      </c>
      <c r="G63" s="315" t="s">
        <v>51</v>
      </c>
      <c r="H63" s="322">
        <v>1858.05</v>
      </c>
      <c r="I63" s="322">
        <v>0</v>
      </c>
      <c r="L63" s="336">
        <f t="shared" si="0"/>
        <v>1858.05</v>
      </c>
      <c r="M63" s="336">
        <f t="shared" si="1"/>
        <v>0</v>
      </c>
    </row>
    <row r="64" spans="2:13" hidden="1">
      <c r="B64" s="315" t="s">
        <v>256</v>
      </c>
      <c r="C64" s="315">
        <v>52</v>
      </c>
      <c r="D64" s="315">
        <v>8</v>
      </c>
      <c r="E64" s="315" t="s">
        <v>294</v>
      </c>
      <c r="F64" s="315" t="s">
        <v>51</v>
      </c>
      <c r="G64" s="315" t="s">
        <v>51</v>
      </c>
      <c r="H64" s="322">
        <v>1499.56</v>
      </c>
      <c r="I64" s="322">
        <v>0</v>
      </c>
      <c r="L64" s="336">
        <f t="shared" si="0"/>
        <v>1499.56</v>
      </c>
      <c r="M64" s="336">
        <f t="shared" si="1"/>
        <v>0</v>
      </c>
    </row>
    <row r="65" spans="2:13" hidden="1">
      <c r="B65" s="315" t="s">
        <v>256</v>
      </c>
      <c r="C65" s="315">
        <v>52</v>
      </c>
      <c r="D65" s="315">
        <v>9</v>
      </c>
      <c r="E65" s="315" t="s">
        <v>295</v>
      </c>
      <c r="F65" s="315" t="s">
        <v>51</v>
      </c>
      <c r="G65" s="315" t="s">
        <v>51</v>
      </c>
      <c r="H65" s="322">
        <v>3116</v>
      </c>
      <c r="I65" s="322">
        <v>0</v>
      </c>
      <c r="L65" s="336">
        <f t="shared" si="0"/>
        <v>3116</v>
      </c>
      <c r="M65" s="336">
        <f t="shared" si="1"/>
        <v>0</v>
      </c>
    </row>
    <row r="66" spans="2:13" hidden="1">
      <c r="B66" s="315" t="s">
        <v>256</v>
      </c>
      <c r="C66" s="315">
        <v>53</v>
      </c>
      <c r="D66" s="315">
        <v>0</v>
      </c>
      <c r="E66" s="315" t="s">
        <v>296</v>
      </c>
      <c r="F66" s="315" t="s">
        <v>46</v>
      </c>
      <c r="G66" s="315" t="s">
        <v>488</v>
      </c>
      <c r="H66" s="322">
        <v>0</v>
      </c>
      <c r="I66" s="322">
        <v>5811.8</v>
      </c>
      <c r="L66" s="336">
        <f t="shared" si="0"/>
        <v>0</v>
      </c>
      <c r="M66" s="336">
        <f t="shared" si="1"/>
        <v>5811.8</v>
      </c>
    </row>
    <row r="67" spans="2:13" hidden="1">
      <c r="B67" s="315" t="s">
        <v>256</v>
      </c>
      <c r="C67" s="315">
        <v>53</v>
      </c>
      <c r="D67" s="315">
        <v>1</v>
      </c>
      <c r="E67" s="315" t="s">
        <v>297</v>
      </c>
      <c r="F67" s="315" t="s">
        <v>46</v>
      </c>
      <c r="G67" s="315" t="s">
        <v>488</v>
      </c>
      <c r="H67" s="322">
        <v>0</v>
      </c>
      <c r="I67" s="322">
        <v>9677.49</v>
      </c>
      <c r="L67" s="336">
        <f t="shared" si="0"/>
        <v>0</v>
      </c>
      <c r="M67" s="336">
        <f t="shared" si="1"/>
        <v>9677.49</v>
      </c>
    </row>
    <row r="68" spans="2:13" hidden="1">
      <c r="B68" s="315" t="s">
        <v>256</v>
      </c>
      <c r="C68" s="315">
        <v>53</v>
      </c>
      <c r="D68" s="315">
        <v>2</v>
      </c>
      <c r="E68" s="315" t="s">
        <v>434</v>
      </c>
      <c r="F68" s="315" t="s">
        <v>46</v>
      </c>
      <c r="G68" s="315" t="s">
        <v>488</v>
      </c>
      <c r="H68" s="322">
        <v>0</v>
      </c>
      <c r="I68" s="322">
        <v>19868.88</v>
      </c>
      <c r="L68" s="336">
        <f t="shared" si="0"/>
        <v>0</v>
      </c>
      <c r="M68" s="336">
        <f t="shared" si="1"/>
        <v>19868.88</v>
      </c>
    </row>
    <row r="69" spans="2:13" hidden="1">
      <c r="B69" s="315" t="s">
        <v>256</v>
      </c>
      <c r="C69" s="315">
        <v>53</v>
      </c>
      <c r="D69" s="315">
        <v>3</v>
      </c>
      <c r="E69" s="315" t="s">
        <v>435</v>
      </c>
      <c r="F69" s="315" t="s">
        <v>46</v>
      </c>
      <c r="G69" s="315" t="s">
        <v>488</v>
      </c>
      <c r="H69" s="322">
        <v>0</v>
      </c>
      <c r="I69" s="322">
        <v>13075.41</v>
      </c>
      <c r="L69" s="336">
        <f t="shared" si="0"/>
        <v>0</v>
      </c>
      <c r="M69" s="336">
        <f t="shared" si="1"/>
        <v>13075.41</v>
      </c>
    </row>
    <row r="70" spans="2:13" hidden="1">
      <c r="B70" s="315" t="s">
        <v>256</v>
      </c>
      <c r="C70" s="315">
        <v>53</v>
      </c>
      <c r="D70" s="315">
        <v>4</v>
      </c>
      <c r="E70" s="315" t="s">
        <v>436</v>
      </c>
      <c r="F70" s="315" t="s">
        <v>46</v>
      </c>
      <c r="G70" s="315" t="s">
        <v>488</v>
      </c>
      <c r="H70" s="322">
        <v>0</v>
      </c>
      <c r="I70" s="322">
        <v>6666.99</v>
      </c>
      <c r="L70" s="336">
        <f t="shared" si="0"/>
        <v>0</v>
      </c>
      <c r="M70" s="336">
        <f t="shared" si="1"/>
        <v>6666.99</v>
      </c>
    </row>
    <row r="71" spans="2:13" hidden="1">
      <c r="B71" s="315" t="s">
        <v>256</v>
      </c>
      <c r="C71" s="315">
        <v>53</v>
      </c>
      <c r="D71" s="315">
        <v>5</v>
      </c>
      <c r="E71" s="315" t="s">
        <v>438</v>
      </c>
      <c r="F71" s="315" t="s">
        <v>51</v>
      </c>
      <c r="G71" s="315" t="s">
        <v>51</v>
      </c>
      <c r="H71" s="322">
        <v>46857.29</v>
      </c>
      <c r="I71" s="322">
        <v>0</v>
      </c>
      <c r="L71" s="336">
        <f t="shared" si="0"/>
        <v>46857.29</v>
      </c>
      <c r="M71" s="336">
        <f t="shared" si="1"/>
        <v>0</v>
      </c>
    </row>
    <row r="72" spans="2:13" hidden="1">
      <c r="B72" s="315" t="s">
        <v>256</v>
      </c>
      <c r="C72" s="315">
        <v>53</v>
      </c>
      <c r="D72" s="315">
        <v>6</v>
      </c>
      <c r="E72" s="315" t="s">
        <v>440</v>
      </c>
      <c r="F72" s="315" t="s">
        <v>51</v>
      </c>
      <c r="G72" s="315" t="s">
        <v>51</v>
      </c>
      <c r="H72" s="322">
        <v>0</v>
      </c>
      <c r="I72" s="322">
        <v>0.02</v>
      </c>
      <c r="L72" s="336">
        <f t="shared" si="0"/>
        <v>0</v>
      </c>
      <c r="M72" s="336">
        <f t="shared" si="1"/>
        <v>0.02</v>
      </c>
    </row>
    <row r="73" spans="2:13" hidden="1">
      <c r="B73" s="315" t="s">
        <v>256</v>
      </c>
      <c r="C73" s="315">
        <v>53</v>
      </c>
      <c r="D73" s="315">
        <v>7</v>
      </c>
      <c r="E73" s="315" t="s">
        <v>441</v>
      </c>
      <c r="F73" s="315" t="s">
        <v>46</v>
      </c>
      <c r="G73" s="315" t="s">
        <v>488</v>
      </c>
      <c r="H73" s="322">
        <v>0</v>
      </c>
      <c r="I73" s="322">
        <v>26768.94</v>
      </c>
      <c r="L73" s="336">
        <f t="shared" ref="L73:L114" si="2">IF(H73+J73-I73-K73&gt;0,H73+J73-I73-K73,0)</f>
        <v>0</v>
      </c>
      <c r="M73" s="336">
        <f t="shared" ref="M73:M114" si="3">IF(I73+K73-H73-J73&gt;0,I73+K73-H73-J73,0)</f>
        <v>26768.94</v>
      </c>
    </row>
    <row r="74" spans="2:13" hidden="1">
      <c r="B74" s="315" t="s">
        <v>256</v>
      </c>
      <c r="C74" s="315">
        <v>53</v>
      </c>
      <c r="D74" s="315">
        <v>8</v>
      </c>
      <c r="E74" s="315" t="s">
        <v>440</v>
      </c>
      <c r="F74" s="315" t="s">
        <v>51</v>
      </c>
      <c r="G74" s="315" t="s">
        <v>51</v>
      </c>
      <c r="H74" s="322">
        <v>287095.71000000002</v>
      </c>
      <c r="I74" s="322">
        <v>0</v>
      </c>
      <c r="L74" s="336">
        <f t="shared" si="2"/>
        <v>287095.71000000002</v>
      </c>
      <c r="M74" s="336">
        <f t="shared" si="3"/>
        <v>0</v>
      </c>
    </row>
    <row r="75" spans="2:13" hidden="1">
      <c r="B75" s="315" t="s">
        <v>256</v>
      </c>
      <c r="C75" s="315">
        <v>53</v>
      </c>
      <c r="D75" s="315">
        <v>9</v>
      </c>
      <c r="E75" s="315" t="s">
        <v>442</v>
      </c>
      <c r="F75" s="315" t="s">
        <v>46</v>
      </c>
      <c r="G75" s="315" t="s">
        <v>488</v>
      </c>
      <c r="H75" s="322">
        <v>0</v>
      </c>
      <c r="I75" s="322">
        <v>41958</v>
      </c>
      <c r="L75" s="336">
        <f t="shared" si="2"/>
        <v>0</v>
      </c>
      <c r="M75" s="336">
        <f t="shared" si="3"/>
        <v>41958</v>
      </c>
    </row>
    <row r="76" spans="2:13" hidden="1">
      <c r="B76" s="315" t="s">
        <v>256</v>
      </c>
      <c r="C76" s="315">
        <v>54</v>
      </c>
      <c r="D76" s="315">
        <v>0</v>
      </c>
      <c r="E76" s="315" t="s">
        <v>443</v>
      </c>
      <c r="F76" s="315" t="s">
        <v>51</v>
      </c>
      <c r="G76" s="315" t="s">
        <v>51</v>
      </c>
      <c r="H76" s="322">
        <v>1500</v>
      </c>
      <c r="I76" s="322">
        <v>0</v>
      </c>
      <c r="L76" s="336">
        <f t="shared" si="2"/>
        <v>1500</v>
      </c>
      <c r="M76" s="336">
        <f t="shared" si="3"/>
        <v>0</v>
      </c>
    </row>
    <row r="77" spans="2:13" hidden="1">
      <c r="B77" s="315" t="s">
        <v>256</v>
      </c>
      <c r="C77" s="315" t="s">
        <v>444</v>
      </c>
      <c r="D77" s="315" t="s">
        <v>445</v>
      </c>
      <c r="E77" s="315" t="s">
        <v>298</v>
      </c>
      <c r="F77" s="315" t="s">
        <v>51</v>
      </c>
      <c r="G77" s="315" t="s">
        <v>51</v>
      </c>
      <c r="H77" s="322">
        <v>7716149</v>
      </c>
      <c r="I77" s="322">
        <v>0</v>
      </c>
      <c r="L77" s="336">
        <f t="shared" si="2"/>
        <v>7716149</v>
      </c>
      <c r="M77" s="336">
        <f t="shared" si="3"/>
        <v>0</v>
      </c>
    </row>
    <row r="78" spans="2:13" hidden="1">
      <c r="B78" s="315" t="s">
        <v>299</v>
      </c>
      <c r="C78" s="315" t="s">
        <v>446</v>
      </c>
      <c r="D78" s="315">
        <v>38</v>
      </c>
      <c r="E78" s="315" t="s">
        <v>300</v>
      </c>
      <c r="F78" s="315" t="s">
        <v>46</v>
      </c>
      <c r="G78" s="315" t="s">
        <v>84</v>
      </c>
      <c r="H78" s="319">
        <v>0</v>
      </c>
      <c r="I78" s="322">
        <v>2525398</v>
      </c>
      <c r="K78" s="337">
        <f>+JV!G13+JV!G24</f>
        <v>33109</v>
      </c>
      <c r="L78" s="319">
        <f t="shared" si="2"/>
        <v>0</v>
      </c>
      <c r="M78" s="336">
        <f>IF(I78+K78-H78-J78&gt;0,I78+K78-H78-J78,0)</f>
        <v>2558507</v>
      </c>
    </row>
    <row r="79" spans="2:13" hidden="1">
      <c r="B79" s="315" t="s">
        <v>299</v>
      </c>
      <c r="C79" s="315" t="s">
        <v>446</v>
      </c>
      <c r="D79" s="315">
        <v>52</v>
      </c>
      <c r="E79" s="315" t="s">
        <v>448</v>
      </c>
      <c r="F79" s="315" t="s">
        <v>489</v>
      </c>
      <c r="G79" s="315" t="s">
        <v>489</v>
      </c>
      <c r="H79" s="319">
        <v>0</v>
      </c>
      <c r="I79" s="322">
        <v>2</v>
      </c>
      <c r="K79" s="319">
        <f>JV!G44</f>
        <v>252266.79666297132</v>
      </c>
      <c r="L79" s="319">
        <f t="shared" si="2"/>
        <v>0</v>
      </c>
      <c r="M79" s="336">
        <f t="shared" si="3"/>
        <v>252268.79666297132</v>
      </c>
    </row>
    <row r="80" spans="2:13" hidden="1">
      <c r="B80" s="315" t="s">
        <v>299</v>
      </c>
      <c r="C80" s="315" t="s">
        <v>446</v>
      </c>
      <c r="D80" s="315">
        <v>53</v>
      </c>
      <c r="E80" s="315" t="s">
        <v>449</v>
      </c>
      <c r="F80" s="315" t="s">
        <v>190</v>
      </c>
      <c r="G80" s="315" t="s">
        <v>190</v>
      </c>
      <c r="H80" s="319">
        <v>0</v>
      </c>
      <c r="I80" s="322">
        <v>8353</v>
      </c>
      <c r="J80" s="319">
        <v>107</v>
      </c>
      <c r="L80" s="319">
        <f t="shared" si="2"/>
        <v>0</v>
      </c>
      <c r="M80" s="336">
        <f t="shared" si="3"/>
        <v>8246</v>
      </c>
    </row>
    <row r="81" spans="2:18" hidden="1">
      <c r="B81" s="315" t="s">
        <v>302</v>
      </c>
      <c r="C81" s="315" t="s">
        <v>302</v>
      </c>
      <c r="D81" s="315">
        <v>1</v>
      </c>
      <c r="E81" s="315" t="s">
        <v>303</v>
      </c>
      <c r="F81" s="315" t="s">
        <v>114</v>
      </c>
      <c r="G81" s="315" t="s">
        <v>5</v>
      </c>
      <c r="H81" s="322">
        <v>70211.63</v>
      </c>
      <c r="I81" s="319">
        <v>0</v>
      </c>
      <c r="L81" s="336">
        <f t="shared" si="2"/>
        <v>70211.63</v>
      </c>
      <c r="M81" s="319">
        <f t="shared" si="3"/>
        <v>0</v>
      </c>
    </row>
    <row r="82" spans="2:18" hidden="1">
      <c r="B82" s="315" t="s">
        <v>302</v>
      </c>
      <c r="C82" s="315" t="s">
        <v>302</v>
      </c>
      <c r="D82" s="315">
        <v>7</v>
      </c>
      <c r="E82" s="315" t="s">
        <v>304</v>
      </c>
      <c r="F82" s="315" t="s">
        <v>114</v>
      </c>
      <c r="G82" s="315" t="s">
        <v>490</v>
      </c>
      <c r="H82" s="322">
        <v>0</v>
      </c>
      <c r="I82" s="319">
        <v>0</v>
      </c>
      <c r="L82" s="336">
        <f t="shared" si="2"/>
        <v>0</v>
      </c>
      <c r="M82" s="319">
        <f t="shared" si="3"/>
        <v>0</v>
      </c>
    </row>
    <row r="83" spans="2:18" hidden="1">
      <c r="B83" s="315" t="s">
        <v>302</v>
      </c>
      <c r="C83" s="315" t="s">
        <v>302</v>
      </c>
      <c r="D83" s="315">
        <v>13</v>
      </c>
      <c r="E83" s="315" t="s">
        <v>305</v>
      </c>
      <c r="F83" s="315" t="s">
        <v>114</v>
      </c>
      <c r="G83" s="315" t="s">
        <v>490</v>
      </c>
      <c r="H83" s="322">
        <v>23614357.75</v>
      </c>
      <c r="I83" s="319">
        <v>0</v>
      </c>
      <c r="L83" s="336">
        <f t="shared" si="2"/>
        <v>23614357.75</v>
      </c>
      <c r="M83" s="319">
        <f t="shared" si="3"/>
        <v>0</v>
      </c>
    </row>
    <row r="84" spans="2:18" hidden="1">
      <c r="B84" s="315" t="s">
        <v>302</v>
      </c>
      <c r="C84" s="315" t="s">
        <v>302</v>
      </c>
      <c r="D84" s="315">
        <v>14</v>
      </c>
      <c r="E84" s="315" t="s">
        <v>305</v>
      </c>
      <c r="F84" s="315" t="s">
        <v>114</v>
      </c>
      <c r="G84" s="315" t="s">
        <v>490</v>
      </c>
      <c r="H84" s="322">
        <v>10264723.300000001</v>
      </c>
      <c r="I84" s="319">
        <v>0</v>
      </c>
      <c r="K84" s="322">
        <v>127608</v>
      </c>
      <c r="L84" s="336">
        <f t="shared" si="2"/>
        <v>10137115.300000001</v>
      </c>
      <c r="M84" s="319">
        <f t="shared" si="3"/>
        <v>0</v>
      </c>
    </row>
    <row r="85" spans="2:18" hidden="1">
      <c r="B85" s="315" t="s">
        <v>309</v>
      </c>
      <c r="C85" s="315" t="s">
        <v>309</v>
      </c>
      <c r="D85" s="315">
        <v>1</v>
      </c>
      <c r="E85" s="315" t="s">
        <v>310</v>
      </c>
      <c r="F85" s="315" t="s">
        <v>53</v>
      </c>
      <c r="G85" s="315" t="s">
        <v>53</v>
      </c>
      <c r="H85" s="319">
        <v>0</v>
      </c>
      <c r="I85" s="322">
        <v>1970557.83</v>
      </c>
      <c r="J85" s="319">
        <f>JV!H49</f>
        <v>59404</v>
      </c>
      <c r="K85" s="319">
        <v>4393</v>
      </c>
      <c r="L85" s="319">
        <f t="shared" si="2"/>
        <v>0</v>
      </c>
      <c r="M85" s="322">
        <f t="shared" si="3"/>
        <v>1915546.83</v>
      </c>
    </row>
    <row r="86" spans="2:18" hidden="1">
      <c r="B86" s="315" t="s">
        <v>309</v>
      </c>
      <c r="C86" s="315" t="s">
        <v>309</v>
      </c>
      <c r="D86" s="315">
        <v>2</v>
      </c>
      <c r="E86" s="315" t="s">
        <v>450</v>
      </c>
      <c r="F86" s="315" t="s">
        <v>53</v>
      </c>
      <c r="G86" s="315" t="s">
        <v>53</v>
      </c>
      <c r="H86" s="319">
        <v>0</v>
      </c>
      <c r="I86" s="322">
        <v>0</v>
      </c>
      <c r="L86" s="319">
        <f t="shared" si="2"/>
        <v>0</v>
      </c>
      <c r="M86" s="319">
        <f t="shared" si="3"/>
        <v>0</v>
      </c>
    </row>
    <row r="87" spans="2:18">
      <c r="B87" s="315" t="s">
        <v>309</v>
      </c>
      <c r="C87" s="315" t="s">
        <v>309</v>
      </c>
      <c r="D87" s="315">
        <v>5</v>
      </c>
      <c r="E87" s="315" t="s">
        <v>360</v>
      </c>
      <c r="F87" s="315" t="s">
        <v>374</v>
      </c>
      <c r="G87" s="315" t="s">
        <v>351</v>
      </c>
      <c r="H87" s="319">
        <v>0</v>
      </c>
      <c r="I87" s="322">
        <v>476185.3</v>
      </c>
      <c r="K87" s="319">
        <f>JV!I66</f>
        <v>339278</v>
      </c>
      <c r="L87" s="319">
        <f t="shared" si="2"/>
        <v>0</v>
      </c>
      <c r="M87" s="322">
        <f t="shared" si="3"/>
        <v>815463.3</v>
      </c>
    </row>
    <row r="88" spans="2:18" hidden="1">
      <c r="B88" s="315" t="s">
        <v>309</v>
      </c>
      <c r="C88" s="315" t="s">
        <v>309</v>
      </c>
      <c r="D88" s="315">
        <v>6</v>
      </c>
      <c r="E88" s="315" t="s">
        <v>370</v>
      </c>
      <c r="F88" s="315" t="s">
        <v>491</v>
      </c>
      <c r="G88" s="315" t="s">
        <v>491</v>
      </c>
      <c r="H88" s="319">
        <v>0</v>
      </c>
      <c r="I88" s="322">
        <v>1632231.59</v>
      </c>
      <c r="L88" s="319">
        <f t="shared" si="2"/>
        <v>0</v>
      </c>
      <c r="M88" s="322">
        <f t="shared" si="3"/>
        <v>1632231.59</v>
      </c>
    </row>
    <row r="89" spans="2:18">
      <c r="B89" s="315" t="s">
        <v>309</v>
      </c>
      <c r="C89" s="315" t="s">
        <v>309</v>
      </c>
      <c r="D89" s="315">
        <v>7</v>
      </c>
      <c r="E89" s="315" t="s">
        <v>451</v>
      </c>
      <c r="F89" s="315" t="s">
        <v>374</v>
      </c>
      <c r="G89" s="315" t="s">
        <v>142</v>
      </c>
      <c r="H89" s="319">
        <v>0</v>
      </c>
      <c r="I89" s="322">
        <v>2084658.32</v>
      </c>
      <c r="J89" s="319">
        <f>JV!F29+JV!F30</f>
        <v>2084659</v>
      </c>
      <c r="K89" s="319">
        <f>JV!I32+JV!I36</f>
        <v>2316917</v>
      </c>
      <c r="L89" s="319">
        <f t="shared" si="2"/>
        <v>0</v>
      </c>
      <c r="M89" s="322">
        <f>IF(I89+K89-H89-J89&gt;0,I89+K89-H89-J89,0)</f>
        <v>2316916.3200000003</v>
      </c>
      <c r="O89" s="315">
        <f>1601850+715065</f>
        <v>2316915</v>
      </c>
      <c r="P89" s="315">
        <f>+O89-M89</f>
        <v>-1.3200000002980232</v>
      </c>
      <c r="Q89" s="315">
        <f>71507+160185</f>
        <v>231692</v>
      </c>
      <c r="R89" s="315">
        <f>+Q89-P89</f>
        <v>231693.3200000003</v>
      </c>
    </row>
    <row r="90" spans="2:18" hidden="1">
      <c r="B90" s="315" t="s">
        <v>312</v>
      </c>
      <c r="C90" s="315" t="s">
        <v>446</v>
      </c>
      <c r="D90" s="315">
        <v>3</v>
      </c>
      <c r="E90" s="315" t="s">
        <v>313</v>
      </c>
      <c r="F90" s="315" t="s">
        <v>54</v>
      </c>
      <c r="G90" s="315" t="s">
        <v>88</v>
      </c>
      <c r="H90" s="322">
        <v>894000</v>
      </c>
      <c r="I90" s="319">
        <v>0</v>
      </c>
      <c r="J90" s="319">
        <f>JV!H53+JV!H54+JV!H55+JV!H56+JV!H57+JV!H58+JV!H59</f>
        <v>2092000</v>
      </c>
      <c r="L90" s="336">
        <f t="shared" si="2"/>
        <v>2986000</v>
      </c>
      <c r="M90" s="319">
        <f t="shared" si="3"/>
        <v>0</v>
      </c>
    </row>
    <row r="91" spans="2:18" hidden="1">
      <c r="B91" s="315" t="s">
        <v>315</v>
      </c>
      <c r="C91" s="315" t="s">
        <v>446</v>
      </c>
      <c r="D91" s="315">
        <v>4</v>
      </c>
      <c r="E91" s="315" t="s">
        <v>316</v>
      </c>
      <c r="F91" s="315" t="s">
        <v>54</v>
      </c>
      <c r="G91" s="315" t="s">
        <v>89</v>
      </c>
      <c r="H91" s="322">
        <v>118550</v>
      </c>
      <c r="I91" s="319">
        <v>0</v>
      </c>
      <c r="J91" s="337">
        <f>+JV!H12</f>
        <v>9810</v>
      </c>
      <c r="K91" s="322">
        <f>JV!I9</f>
        <v>6371</v>
      </c>
      <c r="L91" s="336">
        <f t="shared" si="2"/>
        <v>121989</v>
      </c>
      <c r="M91" s="319">
        <f t="shared" si="3"/>
        <v>0</v>
      </c>
    </row>
    <row r="92" spans="2:18" hidden="1">
      <c r="B92" s="315" t="s">
        <v>315</v>
      </c>
      <c r="C92" s="315" t="s">
        <v>446</v>
      </c>
      <c r="D92" s="315">
        <v>6</v>
      </c>
      <c r="E92" s="315" t="s">
        <v>317</v>
      </c>
      <c r="F92" s="315" t="s">
        <v>54</v>
      </c>
      <c r="G92" s="315" t="s">
        <v>90</v>
      </c>
      <c r="H92" s="322">
        <v>8640</v>
      </c>
      <c r="I92" s="319">
        <v>0</v>
      </c>
      <c r="L92" s="336">
        <f>IF(H92+J92-I92-K92&gt;0,H92+J92-I92-K92,0)</f>
        <v>8640</v>
      </c>
      <c r="M92" s="319">
        <f>IF(I92+K92-H92-J92&gt;0,I92+K92-H92-J92,0)</f>
        <v>0</v>
      </c>
    </row>
    <row r="93" spans="2:18" hidden="1">
      <c r="B93" s="315" t="s">
        <v>319</v>
      </c>
      <c r="C93" s="315" t="s">
        <v>446</v>
      </c>
      <c r="D93" s="315">
        <v>8</v>
      </c>
      <c r="E93" s="315" t="s">
        <v>320</v>
      </c>
      <c r="F93" s="315" t="s">
        <v>54</v>
      </c>
      <c r="G93" s="315" t="s">
        <v>213</v>
      </c>
      <c r="H93" s="322">
        <v>154910</v>
      </c>
      <c r="I93" s="319">
        <v>0</v>
      </c>
      <c r="J93" s="319">
        <f>JV!H17+JV!H20</f>
        <v>48759</v>
      </c>
      <c r="K93" s="319">
        <f>JV!I18+JV!I23</f>
        <v>31580</v>
      </c>
      <c r="L93" s="336">
        <f>IF(H93+J93-I93-K93&gt;0,H93+J93-I93-K93,0)</f>
        <v>172089</v>
      </c>
      <c r="M93" s="319">
        <f>IF(I93+K93-H93-J93&gt;0,I93+K93-H93-J93,0)</f>
        <v>0</v>
      </c>
      <c r="O93" s="315">
        <f>L93-31500</f>
        <v>140589</v>
      </c>
    </row>
    <row r="94" spans="2:18" hidden="1">
      <c r="B94" s="315" t="s">
        <v>319</v>
      </c>
      <c r="C94" s="315" t="s">
        <v>446</v>
      </c>
      <c r="D94" s="315">
        <v>41</v>
      </c>
      <c r="E94" s="315" t="s">
        <v>361</v>
      </c>
      <c r="F94" s="315" t="s">
        <v>492</v>
      </c>
      <c r="G94" s="315" t="s">
        <v>492</v>
      </c>
      <c r="H94" s="322">
        <v>47619</v>
      </c>
      <c r="I94" s="319">
        <v>0</v>
      </c>
      <c r="J94" s="319">
        <f>JV!F64</f>
        <v>33928</v>
      </c>
      <c r="K94" s="319">
        <f>JV!G41</f>
        <v>81547</v>
      </c>
      <c r="L94" s="336">
        <f t="shared" si="2"/>
        <v>0</v>
      </c>
      <c r="M94" s="319">
        <f t="shared" si="3"/>
        <v>0</v>
      </c>
    </row>
    <row r="95" spans="2:18" hidden="1">
      <c r="B95" s="315" t="s">
        <v>319</v>
      </c>
      <c r="C95" s="315" t="s">
        <v>446</v>
      </c>
      <c r="D95" s="315">
        <v>42</v>
      </c>
      <c r="E95" s="315" t="s">
        <v>455</v>
      </c>
      <c r="F95" s="315" t="s">
        <v>54</v>
      </c>
      <c r="G95" s="315" t="s">
        <v>212</v>
      </c>
      <c r="H95" s="322">
        <v>2048</v>
      </c>
      <c r="I95" s="319">
        <v>0</v>
      </c>
      <c r="L95" s="336">
        <f t="shared" si="2"/>
        <v>2048</v>
      </c>
      <c r="M95" s="319">
        <f t="shared" si="3"/>
        <v>0</v>
      </c>
    </row>
    <row r="96" spans="2:18" hidden="1">
      <c r="B96" s="315" t="s">
        <v>319</v>
      </c>
      <c r="C96" s="315" t="s">
        <v>446</v>
      </c>
      <c r="D96" s="315">
        <v>43</v>
      </c>
      <c r="E96" s="315" t="s">
        <v>456</v>
      </c>
      <c r="F96" s="315" t="s">
        <v>54</v>
      </c>
      <c r="G96" s="315" t="s">
        <v>212</v>
      </c>
      <c r="H96" s="322">
        <v>20600</v>
      </c>
      <c r="I96" s="319">
        <v>0</v>
      </c>
      <c r="L96" s="336">
        <f t="shared" si="2"/>
        <v>20600</v>
      </c>
      <c r="M96" s="319">
        <f t="shared" si="3"/>
        <v>0</v>
      </c>
    </row>
    <row r="97" spans="2:13" hidden="1">
      <c r="B97" s="315" t="s">
        <v>319</v>
      </c>
      <c r="C97" s="315" t="s">
        <v>446</v>
      </c>
      <c r="D97" s="315">
        <v>47</v>
      </c>
      <c r="E97" s="315" t="s">
        <v>457</v>
      </c>
      <c r="F97" s="315" t="s">
        <v>54</v>
      </c>
      <c r="G97" s="315" t="s">
        <v>89</v>
      </c>
      <c r="H97" s="322">
        <v>9000</v>
      </c>
      <c r="I97" s="319">
        <v>0</v>
      </c>
      <c r="J97" s="319">
        <f>JV!H22</f>
        <v>1000</v>
      </c>
      <c r="L97" s="336">
        <f t="shared" si="2"/>
        <v>10000</v>
      </c>
      <c r="M97" s="319">
        <f t="shared" si="3"/>
        <v>0</v>
      </c>
    </row>
    <row r="98" spans="2:13" hidden="1">
      <c r="B98" s="315" t="s">
        <v>322</v>
      </c>
      <c r="C98" s="315" t="s">
        <v>446</v>
      </c>
      <c r="D98" s="315">
        <v>9</v>
      </c>
      <c r="E98" s="315" t="s">
        <v>323</v>
      </c>
      <c r="F98" s="315" t="s">
        <v>54</v>
      </c>
      <c r="G98" s="315" t="s">
        <v>92</v>
      </c>
      <c r="H98" s="322">
        <v>28478</v>
      </c>
      <c r="I98" s="319">
        <v>0</v>
      </c>
      <c r="L98" s="336">
        <f t="shared" si="2"/>
        <v>28478</v>
      </c>
      <c r="M98" s="319">
        <f t="shared" si="3"/>
        <v>0</v>
      </c>
    </row>
    <row r="99" spans="2:13" hidden="1">
      <c r="B99" s="315" t="s">
        <v>325</v>
      </c>
      <c r="C99" s="315" t="s">
        <v>446</v>
      </c>
      <c r="D99" s="315">
        <v>1</v>
      </c>
      <c r="E99" s="315" t="s">
        <v>326</v>
      </c>
      <c r="F99" s="315" t="s">
        <v>54</v>
      </c>
      <c r="G99" s="315" t="s">
        <v>10</v>
      </c>
      <c r="H99" s="322">
        <f>112000-45000</f>
        <v>67000</v>
      </c>
      <c r="I99" s="319">
        <v>0</v>
      </c>
      <c r="L99" s="336">
        <f t="shared" si="2"/>
        <v>67000</v>
      </c>
      <c r="M99" s="319">
        <f t="shared" si="3"/>
        <v>0</v>
      </c>
    </row>
    <row r="100" spans="2:13" hidden="1">
      <c r="E100" s="315" t="s">
        <v>473</v>
      </c>
      <c r="F100" s="315" t="s">
        <v>54</v>
      </c>
      <c r="G100" s="315" t="s">
        <v>494</v>
      </c>
      <c r="H100" s="322">
        <v>45000</v>
      </c>
      <c r="L100" s="336">
        <f t="shared" si="2"/>
        <v>45000</v>
      </c>
      <c r="M100" s="319">
        <f t="shared" si="3"/>
        <v>0</v>
      </c>
    </row>
    <row r="101" spans="2:13" hidden="1">
      <c r="B101" s="315" t="s">
        <v>328</v>
      </c>
      <c r="C101" s="315" t="s">
        <v>446</v>
      </c>
      <c r="D101" s="315">
        <v>10</v>
      </c>
      <c r="E101" s="315" t="s">
        <v>462</v>
      </c>
      <c r="F101" s="315" t="s">
        <v>54</v>
      </c>
      <c r="G101" s="315" t="s">
        <v>493</v>
      </c>
      <c r="H101" s="322">
        <v>122710</v>
      </c>
      <c r="I101" s="319">
        <v>0</v>
      </c>
      <c r="J101" s="319">
        <f>JV!H60</f>
        <v>360000</v>
      </c>
      <c r="L101" s="336">
        <f t="shared" si="2"/>
        <v>482710</v>
      </c>
      <c r="M101" s="319">
        <f t="shared" si="3"/>
        <v>0</v>
      </c>
    </row>
    <row r="102" spans="2:13" hidden="1">
      <c r="B102" s="315" t="s">
        <v>328</v>
      </c>
      <c r="C102" s="315" t="s">
        <v>446</v>
      </c>
      <c r="D102" s="315">
        <v>11</v>
      </c>
      <c r="E102" s="315" t="s">
        <v>329</v>
      </c>
      <c r="F102" s="315" t="s">
        <v>54</v>
      </c>
      <c r="G102" s="315" t="s">
        <v>92</v>
      </c>
      <c r="H102" s="322">
        <v>32011</v>
      </c>
      <c r="I102" s="319">
        <v>0</v>
      </c>
      <c r="L102" s="336">
        <f t="shared" si="2"/>
        <v>32011</v>
      </c>
      <c r="M102" s="319">
        <f t="shared" si="3"/>
        <v>0</v>
      </c>
    </row>
    <row r="103" spans="2:13" hidden="1">
      <c r="B103" s="315" t="s">
        <v>328</v>
      </c>
      <c r="C103" s="315" t="s">
        <v>446</v>
      </c>
      <c r="D103" s="315">
        <v>12</v>
      </c>
      <c r="E103" s="315" t="s">
        <v>330</v>
      </c>
      <c r="F103" s="315" t="s">
        <v>54</v>
      </c>
      <c r="G103" s="315" t="s">
        <v>92</v>
      </c>
      <c r="H103" s="322">
        <v>116329</v>
      </c>
      <c r="I103" s="319">
        <v>0</v>
      </c>
      <c r="L103" s="336">
        <f t="shared" si="2"/>
        <v>116329</v>
      </c>
      <c r="M103" s="319">
        <f t="shared" si="3"/>
        <v>0</v>
      </c>
    </row>
    <row r="104" spans="2:13" hidden="1">
      <c r="B104" s="315" t="s">
        <v>328</v>
      </c>
      <c r="C104" s="315" t="s">
        <v>446</v>
      </c>
      <c r="D104" s="315">
        <v>13</v>
      </c>
      <c r="E104" s="315" t="s">
        <v>331</v>
      </c>
      <c r="F104" s="315" t="s">
        <v>54</v>
      </c>
      <c r="G104" s="315" t="s">
        <v>92</v>
      </c>
      <c r="H104" s="322">
        <v>64135</v>
      </c>
      <c r="I104" s="319">
        <v>0</v>
      </c>
      <c r="J104" s="319">
        <f>JV!H21</f>
        <v>5120</v>
      </c>
      <c r="L104" s="336">
        <f t="shared" si="2"/>
        <v>69255</v>
      </c>
      <c r="M104" s="319">
        <f t="shared" si="3"/>
        <v>0</v>
      </c>
    </row>
    <row r="105" spans="2:13" hidden="1">
      <c r="B105" s="315" t="s">
        <v>328</v>
      </c>
      <c r="C105" s="315" t="s">
        <v>446</v>
      </c>
      <c r="D105" s="315">
        <v>23</v>
      </c>
      <c r="E105" s="315" t="s">
        <v>332</v>
      </c>
      <c r="F105" s="315" t="s">
        <v>54</v>
      </c>
      <c r="G105" s="315" t="s">
        <v>40</v>
      </c>
      <c r="H105" s="322">
        <v>53025</v>
      </c>
      <c r="I105" s="319">
        <v>0</v>
      </c>
      <c r="L105" s="336">
        <f t="shared" si="2"/>
        <v>53025</v>
      </c>
      <c r="M105" s="319">
        <f t="shared" si="3"/>
        <v>0</v>
      </c>
    </row>
    <row r="106" spans="2:13" hidden="1">
      <c r="B106" s="315" t="s">
        <v>328</v>
      </c>
      <c r="C106" s="315" t="s">
        <v>446</v>
      </c>
      <c r="D106" s="315">
        <v>26</v>
      </c>
      <c r="E106" s="315" t="s">
        <v>333</v>
      </c>
      <c r="F106" s="315" t="s">
        <v>54</v>
      </c>
      <c r="G106" s="315" t="s">
        <v>92</v>
      </c>
      <c r="H106" s="322">
        <v>84250</v>
      </c>
      <c r="I106" s="319">
        <v>0</v>
      </c>
      <c r="L106" s="336">
        <f t="shared" si="2"/>
        <v>84250</v>
      </c>
      <c r="M106" s="319">
        <f t="shared" si="3"/>
        <v>0</v>
      </c>
    </row>
    <row r="107" spans="2:13" hidden="1">
      <c r="B107" s="315" t="s">
        <v>328</v>
      </c>
      <c r="C107" s="315" t="s">
        <v>446</v>
      </c>
      <c r="D107" s="315">
        <v>35</v>
      </c>
      <c r="E107" s="315" t="s">
        <v>334</v>
      </c>
      <c r="F107" s="315" t="s">
        <v>54</v>
      </c>
      <c r="G107" s="315" t="s">
        <v>212</v>
      </c>
      <c r="H107" s="322">
        <v>10440</v>
      </c>
      <c r="I107" s="319">
        <v>0</v>
      </c>
      <c r="L107" s="336">
        <f t="shared" si="2"/>
        <v>10440</v>
      </c>
      <c r="M107" s="319">
        <f t="shared" si="3"/>
        <v>0</v>
      </c>
    </row>
    <row r="108" spans="2:13" hidden="1">
      <c r="B108" s="315" t="s">
        <v>328</v>
      </c>
      <c r="C108" s="315" t="s">
        <v>446</v>
      </c>
      <c r="D108" s="315">
        <v>46</v>
      </c>
      <c r="E108" s="315" t="s">
        <v>465</v>
      </c>
      <c r="F108" s="315" t="s">
        <v>46</v>
      </c>
      <c r="G108" s="315" t="s">
        <v>84</v>
      </c>
      <c r="H108" s="322">
        <v>360000</v>
      </c>
      <c r="I108" s="319">
        <v>0</v>
      </c>
      <c r="K108" s="319">
        <f>JV!H60</f>
        <v>360000</v>
      </c>
      <c r="L108" s="336">
        <f t="shared" si="2"/>
        <v>0</v>
      </c>
      <c r="M108" s="319">
        <f t="shared" si="3"/>
        <v>0</v>
      </c>
    </row>
    <row r="109" spans="2:13" hidden="1">
      <c r="B109" s="315" t="s">
        <v>328</v>
      </c>
      <c r="C109" s="315" t="s">
        <v>446</v>
      </c>
      <c r="D109" s="315">
        <v>48</v>
      </c>
      <c r="E109" s="315" t="s">
        <v>466</v>
      </c>
      <c r="F109" s="315" t="s">
        <v>46</v>
      </c>
      <c r="G109" s="315" t="s">
        <v>84</v>
      </c>
      <c r="H109" s="322">
        <v>696000</v>
      </c>
      <c r="I109" s="319">
        <v>0</v>
      </c>
      <c r="K109" s="319">
        <f>JV!H59+JV!H58+JV!H57+JV!H56</f>
        <v>696000</v>
      </c>
      <c r="L109" s="336">
        <f t="shared" si="2"/>
        <v>0</v>
      </c>
      <c r="M109" s="319">
        <f t="shared" si="3"/>
        <v>0</v>
      </c>
    </row>
    <row r="110" spans="2:13" hidden="1">
      <c r="B110" s="315" t="s">
        <v>328</v>
      </c>
      <c r="C110" s="315" t="s">
        <v>446</v>
      </c>
      <c r="D110" s="315">
        <v>50</v>
      </c>
      <c r="E110" s="315" t="s">
        <v>467</v>
      </c>
      <c r="F110" s="315" t="s">
        <v>46</v>
      </c>
      <c r="G110" s="315" t="s">
        <v>84</v>
      </c>
      <c r="H110" s="322">
        <v>1396000</v>
      </c>
      <c r="I110" s="319">
        <v>0</v>
      </c>
      <c r="K110" s="319">
        <f>JV!H53+JV!H54+JV!H55</f>
        <v>1396000</v>
      </c>
      <c r="L110" s="336">
        <f t="shared" si="2"/>
        <v>0</v>
      </c>
      <c r="M110" s="319">
        <f t="shared" si="3"/>
        <v>0</v>
      </c>
    </row>
    <row r="111" spans="2:13" hidden="1">
      <c r="B111" s="315" t="s">
        <v>328</v>
      </c>
      <c r="C111" s="315" t="s">
        <v>446</v>
      </c>
      <c r="D111" s="315">
        <v>54</v>
      </c>
      <c r="E111" s="315" t="s">
        <v>469</v>
      </c>
      <c r="F111" s="315" t="s">
        <v>492</v>
      </c>
      <c r="G111" s="315" t="s">
        <v>492</v>
      </c>
      <c r="H111" s="322">
        <v>169869.68</v>
      </c>
      <c r="I111" s="319">
        <v>0</v>
      </c>
      <c r="J111" s="319">
        <f>JV!F48</f>
        <v>101732</v>
      </c>
      <c r="K111" s="319">
        <f>JV!G42</f>
        <v>271601.68</v>
      </c>
      <c r="L111" s="336">
        <f t="shared" si="2"/>
        <v>0</v>
      </c>
      <c r="M111" s="319">
        <f t="shared" si="3"/>
        <v>0</v>
      </c>
    </row>
    <row r="112" spans="2:13" hidden="1">
      <c r="E112" s="315" t="s">
        <v>495</v>
      </c>
      <c r="F112" s="315" t="s">
        <v>492</v>
      </c>
      <c r="G112" s="315" t="s">
        <v>492</v>
      </c>
      <c r="H112" s="322"/>
      <c r="J112" s="319">
        <f>JV!F8+JV!F31-JV!G37+63</f>
        <v>238062</v>
      </c>
      <c r="K112" s="319">
        <f>JV!G43</f>
        <v>238062</v>
      </c>
      <c r="L112" s="336">
        <f t="shared" si="2"/>
        <v>0</v>
      </c>
      <c r="M112" s="319">
        <f t="shared" si="3"/>
        <v>0</v>
      </c>
    </row>
    <row r="113" spans="2:13" hidden="1">
      <c r="E113" s="315" t="s">
        <v>565</v>
      </c>
      <c r="F113" s="315" t="s">
        <v>565</v>
      </c>
      <c r="G113" s="315" t="s">
        <v>565</v>
      </c>
      <c r="H113" s="322">
        <v>0</v>
      </c>
      <c r="I113" s="319">
        <v>0</v>
      </c>
      <c r="J113" s="319">
        <f>'P &amp; L'!F26</f>
        <v>843477.47666297131</v>
      </c>
      <c r="K113" s="319">
        <v>107</v>
      </c>
      <c r="L113" s="336">
        <f>IF(H113+J113-I113-K113&gt;0,H113+J113-I113-K113,0)</f>
        <v>843370.47666297131</v>
      </c>
      <c r="M113" s="319">
        <f>IF(I113+K113-H113-J113&gt;0,I113+K113-H113-J113,0)</f>
        <v>0</v>
      </c>
    </row>
    <row r="114" spans="2:13" hidden="1">
      <c r="B114" s="315" t="s">
        <v>336</v>
      </c>
      <c r="C114" s="315" t="s">
        <v>446</v>
      </c>
      <c r="D114" s="315">
        <v>19</v>
      </c>
      <c r="E114" s="315" t="s">
        <v>337</v>
      </c>
      <c r="F114" s="315" t="s">
        <v>55</v>
      </c>
      <c r="G114" s="315" t="s">
        <v>94</v>
      </c>
      <c r="H114" s="322">
        <v>4661.3500000000004</v>
      </c>
      <c r="I114" s="319">
        <v>0</v>
      </c>
      <c r="J114" s="319">
        <f>JV!H35</f>
        <v>567</v>
      </c>
      <c r="L114" s="322">
        <f t="shared" si="2"/>
        <v>5228.3500000000004</v>
      </c>
      <c r="M114" s="319">
        <f t="shared" si="3"/>
        <v>0</v>
      </c>
    </row>
    <row r="115" spans="2:13">
      <c r="H115" s="322"/>
    </row>
    <row r="116" spans="2:13" ht="21" customHeight="1" thickBot="1">
      <c r="H116" s="324">
        <f t="shared" ref="H116:M116" si="4">SUM(H8:H115)</f>
        <v>64032678.950000003</v>
      </c>
      <c r="I116" s="324">
        <f t="shared" si="4"/>
        <v>64032678.970000006</v>
      </c>
      <c r="J116" s="324">
        <f t="shared" si="4"/>
        <v>6319414.4766629711</v>
      </c>
      <c r="K116" s="324">
        <f t="shared" si="4"/>
        <v>6319414.4766629711</v>
      </c>
      <c r="L116" s="324">
        <f t="shared" si="4"/>
        <v>64558257.746662974</v>
      </c>
      <c r="M116" s="324">
        <f t="shared" si="4"/>
        <v>64558257.766662978</v>
      </c>
    </row>
    <row r="117" spans="2:13" ht="13.5" thickTop="1"/>
    <row r="118" spans="2:13">
      <c r="K118" s="319">
        <f>K112+K111+K94</f>
        <v>591210.67999999993</v>
      </c>
      <c r="M118" s="319">
        <f>M116-L116</f>
        <v>2.0000003278255463E-2</v>
      </c>
    </row>
    <row r="119" spans="2:13">
      <c r="K119" s="319">
        <f>K118-455551</f>
        <v>135659.67999999993</v>
      </c>
      <c r="M119" s="335"/>
    </row>
    <row r="121" spans="2:13">
      <c r="M121" s="319">
        <f>SUM(M10:M115)</f>
        <v>52587378.766662985</v>
      </c>
    </row>
    <row r="122" spans="2:13">
      <c r="M122" s="319">
        <f>M110+M78+M11+M10-L109</f>
        <v>2632991.14</v>
      </c>
    </row>
  </sheetData>
  <autoFilter ref="B6:M114">
    <filterColumn colId="4">
      <filters>
        <filter val="Other operating income"/>
      </filters>
    </filterColumn>
    <filterColumn colId="6" showButton="0"/>
    <filterColumn colId="8" showButton="0"/>
    <filterColumn colId="10" showButton="0"/>
  </autoFilter>
  <mergeCells count="9">
    <mergeCell ref="H6:I6"/>
    <mergeCell ref="J6:K6"/>
    <mergeCell ref="L6:M6"/>
    <mergeCell ref="B6:B7"/>
    <mergeCell ref="C6:C7"/>
    <mergeCell ref="D6:D7"/>
    <mergeCell ref="E6:E7"/>
    <mergeCell ref="F6:F7"/>
    <mergeCell ref="G6:G7"/>
  </mergeCells>
  <pageMargins left="0.7" right="0.7" top="0.75" bottom="0.75" header="0.3" footer="0.3"/>
  <pageSetup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O105"/>
  <sheetViews>
    <sheetView workbookViewId="0">
      <pane xSplit="2" ySplit="5" topLeftCell="C57" activePane="bottomRight" state="frozen"/>
      <selection pane="topRight" activeCell="C1" sqref="C1"/>
      <selection pane="bottomLeft" activeCell="A6" sqref="A6"/>
      <selection pane="bottomRight" activeCell="G27" sqref="G27"/>
    </sheetView>
  </sheetViews>
  <sheetFormatPr defaultRowHeight="15.75" zeroHeight="1"/>
  <cols>
    <col min="1" max="1" width="2.5546875" style="3" customWidth="1"/>
    <col min="2" max="2" width="6.21875" style="3" customWidth="1"/>
    <col min="3" max="5" width="8.88671875" style="3"/>
    <col min="6" max="7" width="12.109375" style="3" bestFit="1" customWidth="1"/>
    <col min="8" max="8" width="11.44140625" style="3" customWidth="1"/>
    <col min="9" max="9" width="11.21875" style="3" bestFit="1" customWidth="1"/>
    <col min="10" max="12" width="8.88671875" style="3"/>
    <col min="13" max="13" width="9" style="3" bestFit="1" customWidth="1"/>
    <col min="14" max="14" width="9.88671875" style="3" bestFit="1" customWidth="1"/>
    <col min="15" max="15" width="12.109375" style="3" bestFit="1" customWidth="1"/>
    <col min="16" max="16384" width="8.88671875" style="3"/>
  </cols>
  <sheetData>
    <row r="1" spans="2:15"/>
    <row r="2" spans="2:15">
      <c r="B2" s="3" t="s">
        <v>4</v>
      </c>
    </row>
    <row r="3" spans="2:15" ht="16.5" thickBot="1"/>
    <row r="4" spans="2:15" ht="16.5" thickTop="1">
      <c r="B4" s="458" t="s">
        <v>344</v>
      </c>
      <c r="C4" s="456" t="s">
        <v>9</v>
      </c>
      <c r="D4" s="456"/>
      <c r="E4" s="456"/>
      <c r="F4" s="453" t="s">
        <v>348</v>
      </c>
      <c r="G4" s="453"/>
      <c r="H4" s="453" t="s">
        <v>349</v>
      </c>
      <c r="I4" s="453"/>
      <c r="J4" s="454" t="s">
        <v>347</v>
      </c>
    </row>
    <row r="5" spans="2:15" ht="16.5" thickBot="1">
      <c r="B5" s="459"/>
      <c r="C5" s="457"/>
      <c r="D5" s="457"/>
      <c r="E5" s="457"/>
      <c r="F5" s="153" t="s">
        <v>345</v>
      </c>
      <c r="G5" s="153" t="s">
        <v>346</v>
      </c>
      <c r="H5" s="153" t="s">
        <v>345</v>
      </c>
      <c r="I5" s="153" t="s">
        <v>346</v>
      </c>
      <c r="J5" s="455"/>
    </row>
    <row r="6" spans="2:15" ht="16.5" thickTop="1">
      <c r="B6" s="160"/>
      <c r="C6" s="161"/>
      <c r="D6" s="161"/>
      <c r="E6" s="161"/>
      <c r="F6" s="170"/>
      <c r="G6" s="170"/>
      <c r="H6" s="170"/>
      <c r="I6" s="170"/>
      <c r="J6" s="162"/>
    </row>
    <row r="7" spans="2:15">
      <c r="B7" s="163"/>
      <c r="C7" s="6"/>
      <c r="D7" s="6"/>
      <c r="E7" s="6"/>
      <c r="F7" s="171"/>
      <c r="G7" s="171"/>
      <c r="H7" s="171"/>
      <c r="I7" s="171"/>
      <c r="J7" s="164" t="s">
        <v>363</v>
      </c>
      <c r="L7" s="6"/>
      <c r="M7" s="6"/>
      <c r="N7" s="6"/>
      <c r="O7" s="6"/>
    </row>
    <row r="8" spans="2:15">
      <c r="B8" s="163">
        <v>1</v>
      </c>
      <c r="C8" s="6" t="s">
        <v>495</v>
      </c>
      <c r="D8" s="6"/>
      <c r="E8" s="6"/>
      <c r="F8" s="171">
        <v>6371</v>
      </c>
      <c r="G8" s="171"/>
      <c r="H8" s="171"/>
      <c r="I8" s="171"/>
      <c r="J8" s="164"/>
      <c r="L8" s="6"/>
      <c r="M8" s="6"/>
      <c r="N8" s="6"/>
      <c r="O8" s="6"/>
    </row>
    <row r="9" spans="2:15">
      <c r="B9" s="163"/>
      <c r="C9" s="6"/>
      <c r="D9" s="6" t="s">
        <v>496</v>
      </c>
      <c r="E9" s="6"/>
      <c r="F9" s="171"/>
      <c r="G9" s="171"/>
      <c r="H9" s="171"/>
      <c r="I9" s="171">
        <v>6371</v>
      </c>
      <c r="J9" s="164"/>
      <c r="L9" s="6"/>
      <c r="M9" s="6"/>
      <c r="N9" s="6"/>
      <c r="O9" s="6"/>
    </row>
    <row r="10" spans="2:15">
      <c r="B10" s="165"/>
      <c r="C10" s="154"/>
      <c r="D10" s="154"/>
      <c r="E10" s="154"/>
      <c r="F10" s="172"/>
      <c r="G10" s="172"/>
      <c r="H10" s="172"/>
      <c r="I10" s="172"/>
      <c r="J10" s="166"/>
      <c r="L10" s="6"/>
      <c r="M10" s="6"/>
      <c r="N10" s="6"/>
      <c r="O10" s="6"/>
    </row>
    <row r="11" spans="2:15" ht="15.75" customHeight="1">
      <c r="B11" s="163"/>
      <c r="C11" s="6"/>
      <c r="D11" s="6"/>
      <c r="E11" s="6"/>
      <c r="F11" s="171"/>
      <c r="G11" s="171"/>
      <c r="H11" s="171"/>
      <c r="I11" s="171"/>
      <c r="J11" s="164"/>
      <c r="L11" s="460"/>
      <c r="M11" s="6"/>
      <c r="N11" s="6"/>
      <c r="O11" s="6"/>
    </row>
    <row r="12" spans="2:15">
      <c r="B12" s="163">
        <v>2</v>
      </c>
      <c r="C12" s="6" t="s">
        <v>497</v>
      </c>
      <c r="D12" s="6"/>
      <c r="E12" s="6"/>
      <c r="F12" s="171"/>
      <c r="G12" s="171"/>
      <c r="H12" s="171">
        <v>9810</v>
      </c>
      <c r="I12" s="171"/>
      <c r="J12" s="164" t="s">
        <v>363</v>
      </c>
      <c r="L12" s="460"/>
      <c r="M12" s="6"/>
      <c r="N12" s="6"/>
      <c r="O12" s="6"/>
    </row>
    <row r="13" spans="2:15">
      <c r="B13" s="163"/>
      <c r="C13" s="6"/>
      <c r="D13" s="6" t="s">
        <v>84</v>
      </c>
      <c r="E13" s="6"/>
      <c r="F13" s="171"/>
      <c r="G13" s="171">
        <v>9810</v>
      </c>
      <c r="H13" s="171"/>
      <c r="I13" s="171"/>
      <c r="J13" s="164"/>
      <c r="L13" s="460"/>
      <c r="M13" s="6"/>
      <c r="N13" s="6"/>
      <c r="O13" s="6"/>
    </row>
    <row r="14" spans="2:15">
      <c r="B14" s="165"/>
      <c r="C14" s="154"/>
      <c r="D14" s="154"/>
      <c r="E14" s="154"/>
      <c r="F14" s="172"/>
      <c r="G14" s="172"/>
      <c r="H14" s="172"/>
      <c r="I14" s="172"/>
      <c r="J14" s="166"/>
      <c r="L14" s="6"/>
      <c r="M14" s="6"/>
      <c r="N14" s="6"/>
      <c r="O14" s="5"/>
    </row>
    <row r="15" spans="2:15">
      <c r="B15" s="163"/>
      <c r="C15" s="6"/>
      <c r="D15" s="6"/>
      <c r="E15" s="6"/>
      <c r="F15" s="171"/>
      <c r="G15" s="171"/>
      <c r="H15" s="171"/>
      <c r="I15" s="171"/>
      <c r="J15" s="164"/>
      <c r="L15" s="6"/>
      <c r="M15" s="6"/>
      <c r="N15" s="6"/>
      <c r="O15" s="6"/>
    </row>
    <row r="16" spans="2:15">
      <c r="B16" s="163"/>
      <c r="C16" s="6"/>
      <c r="D16" s="6"/>
      <c r="E16" s="6"/>
      <c r="F16" s="171"/>
      <c r="G16" s="171"/>
      <c r="H16" s="171"/>
      <c r="I16" s="171"/>
      <c r="J16" s="164"/>
    </row>
    <row r="17" spans="2:13">
      <c r="B17" s="163">
        <v>3</v>
      </c>
      <c r="C17" s="6" t="s">
        <v>502</v>
      </c>
      <c r="D17" s="6"/>
      <c r="E17" s="6"/>
      <c r="F17" s="171"/>
      <c r="G17" s="171"/>
      <c r="H17" s="171">
        <v>24819</v>
      </c>
      <c r="I17" s="171"/>
      <c r="J17" s="164"/>
    </row>
    <row r="18" spans="2:13">
      <c r="B18" s="163"/>
      <c r="C18" s="6"/>
      <c r="D18" s="6" t="s">
        <v>504</v>
      </c>
      <c r="E18" s="6"/>
      <c r="F18" s="171"/>
      <c r="G18" s="171"/>
      <c r="H18" s="171"/>
      <c r="I18" s="171">
        <v>24819</v>
      </c>
      <c r="J18" s="164"/>
    </row>
    <row r="19" spans="2:13">
      <c r="B19" s="163"/>
      <c r="C19" s="6"/>
      <c r="D19" s="6"/>
      <c r="E19" s="6"/>
      <c r="F19" s="171"/>
      <c r="G19" s="171"/>
      <c r="H19" s="171"/>
      <c r="I19" s="171"/>
      <c r="J19" s="164"/>
    </row>
    <row r="20" spans="2:13">
      <c r="B20" s="163">
        <v>4</v>
      </c>
      <c r="C20" s="6" t="s">
        <v>502</v>
      </c>
      <c r="D20" s="6"/>
      <c r="E20" s="6"/>
      <c r="F20" s="171"/>
      <c r="G20" s="171"/>
      <c r="H20" s="171">
        <v>23940</v>
      </c>
      <c r="I20" s="171"/>
      <c r="J20" s="164"/>
    </row>
    <row r="21" spans="2:13">
      <c r="B21" s="163"/>
      <c r="C21" s="6" t="s">
        <v>498</v>
      </c>
      <c r="D21" s="6"/>
      <c r="E21" s="6"/>
      <c r="F21" s="171"/>
      <c r="G21" s="171"/>
      <c r="H21" s="171">
        <v>5120</v>
      </c>
      <c r="I21" s="171"/>
      <c r="J21" s="164"/>
    </row>
    <row r="22" spans="2:13">
      <c r="B22" s="163"/>
      <c r="C22" s="6" t="s">
        <v>499</v>
      </c>
      <c r="D22" s="6"/>
      <c r="E22" s="6"/>
      <c r="F22" s="171"/>
      <c r="G22" s="171"/>
      <c r="H22" s="171">
        <v>1000</v>
      </c>
      <c r="I22" s="171"/>
      <c r="J22" s="164"/>
    </row>
    <row r="23" spans="2:13">
      <c r="B23" s="163"/>
      <c r="C23" s="6"/>
      <c r="D23" s="6" t="s">
        <v>504</v>
      </c>
      <c r="E23" s="6"/>
      <c r="F23" s="171"/>
      <c r="G23" s="171"/>
      <c r="H23" s="171"/>
      <c r="I23" s="171">
        <v>6761</v>
      </c>
      <c r="J23" s="164"/>
    </row>
    <row r="24" spans="2:13">
      <c r="B24" s="163"/>
      <c r="C24" s="6"/>
      <c r="D24" s="6" t="s">
        <v>503</v>
      </c>
      <c r="E24" s="6"/>
      <c r="F24" s="171"/>
      <c r="G24" s="171">
        <v>23299</v>
      </c>
      <c r="H24" s="171"/>
      <c r="I24" s="171"/>
      <c r="J24" s="164" t="s">
        <v>363</v>
      </c>
    </row>
    <row r="25" spans="2:13">
      <c r="B25" s="163"/>
      <c r="C25" s="6"/>
      <c r="D25" s="6"/>
      <c r="E25" s="6"/>
      <c r="F25" s="171"/>
      <c r="G25" s="171"/>
      <c r="H25" s="171"/>
      <c r="I25" s="171"/>
      <c r="J25" s="164"/>
    </row>
    <row r="26" spans="2:13">
      <c r="B26" s="163"/>
      <c r="C26" s="6"/>
      <c r="D26" s="6"/>
      <c r="E26" s="6"/>
      <c r="F26" s="171"/>
      <c r="G26" s="171"/>
      <c r="H26" s="171"/>
      <c r="I26" s="171"/>
      <c r="J26" s="164"/>
    </row>
    <row r="27" spans="2:13">
      <c r="B27" s="165"/>
      <c r="C27" s="154"/>
      <c r="D27" s="154"/>
      <c r="E27" s="154"/>
      <c r="F27" s="172"/>
      <c r="G27" s="172" t="s">
        <v>594</v>
      </c>
      <c r="H27" s="172"/>
      <c r="I27" s="172"/>
      <c r="J27" s="166"/>
      <c r="K27" s="3">
        <f>F31-231691-64</f>
        <v>-127</v>
      </c>
    </row>
    <row r="28" spans="2:13">
      <c r="B28" s="163"/>
      <c r="C28" s="6"/>
      <c r="D28" s="6"/>
      <c r="E28" s="6"/>
      <c r="F28" s="171"/>
      <c r="G28" s="171"/>
      <c r="H28" s="171"/>
      <c r="I28" s="171"/>
      <c r="J28" s="164"/>
    </row>
    <row r="29" spans="2:13">
      <c r="B29" s="163">
        <v>5</v>
      </c>
      <c r="C29" s="6" t="s">
        <v>501</v>
      </c>
      <c r="D29" s="6"/>
      <c r="E29" s="6"/>
      <c r="F29" s="171">
        <v>1441361</v>
      </c>
      <c r="G29" s="171"/>
      <c r="H29" s="171"/>
      <c r="I29" s="171"/>
      <c r="J29" s="164" t="s">
        <v>363</v>
      </c>
      <c r="K29" s="3">
        <v>1601512</v>
      </c>
      <c r="L29" s="3">
        <f>K29*0.1</f>
        <v>160151.20000000001</v>
      </c>
      <c r="M29" s="3">
        <f>K29-L29</f>
        <v>1441360.8</v>
      </c>
    </row>
    <row r="30" spans="2:13">
      <c r="B30" s="163"/>
      <c r="C30" s="6" t="s">
        <v>501</v>
      </c>
      <c r="D30" s="6"/>
      <c r="E30" s="6"/>
      <c r="F30" s="171">
        <v>643298</v>
      </c>
      <c r="G30" s="171"/>
      <c r="H30" s="171"/>
      <c r="I30" s="171"/>
      <c r="J30" s="164"/>
    </row>
    <row r="31" spans="2:13">
      <c r="B31" s="163"/>
      <c r="C31" s="6" t="s">
        <v>495</v>
      </c>
      <c r="E31" s="6"/>
      <c r="F31" s="171">
        <f>160151+71477</f>
        <v>231628</v>
      </c>
      <c r="G31" s="171"/>
      <c r="H31" s="171"/>
      <c r="I31" s="171"/>
      <c r="J31" s="164"/>
      <c r="K31" s="3">
        <v>714775</v>
      </c>
      <c r="L31" s="3">
        <f>K31*0.1</f>
        <v>71477.5</v>
      </c>
      <c r="M31" s="3">
        <f>K31-L31</f>
        <v>643297.5</v>
      </c>
    </row>
    <row r="32" spans="2:13">
      <c r="B32" s="163"/>
      <c r="C32" s="6"/>
      <c r="D32" s="3" t="s">
        <v>500</v>
      </c>
      <c r="E32" s="6"/>
      <c r="F32" s="171"/>
      <c r="G32" s="171"/>
      <c r="H32" s="171"/>
      <c r="I32" s="171">
        <v>2316287</v>
      </c>
      <c r="J32" s="164"/>
    </row>
    <row r="33" spans="2:12">
      <c r="B33" s="163"/>
      <c r="C33" s="6"/>
      <c r="E33" s="6"/>
      <c r="F33" s="171"/>
      <c r="G33" s="171"/>
      <c r="H33" s="171"/>
      <c r="I33" s="171"/>
      <c r="J33" s="164"/>
    </row>
    <row r="34" spans="2:12">
      <c r="B34" s="163"/>
      <c r="C34" s="6"/>
      <c r="E34" s="6"/>
      <c r="F34" s="171"/>
      <c r="G34" s="171"/>
      <c r="H34" s="171"/>
      <c r="I34" s="171"/>
      <c r="J34" s="164"/>
    </row>
    <row r="35" spans="2:12">
      <c r="B35" s="163">
        <v>6</v>
      </c>
      <c r="C35" s="6" t="s">
        <v>337</v>
      </c>
      <c r="E35" s="6"/>
      <c r="F35" s="171"/>
      <c r="G35" s="171"/>
      <c r="H35" s="171">
        <f>630-63</f>
        <v>567</v>
      </c>
      <c r="I35" s="171"/>
      <c r="J35" s="164"/>
      <c r="K35" s="3">
        <v>71506</v>
      </c>
      <c r="L35" s="3">
        <v>715066</v>
      </c>
    </row>
    <row r="36" spans="2:12">
      <c r="B36" s="163"/>
      <c r="C36" s="6"/>
      <c r="D36" s="3" t="s">
        <v>500</v>
      </c>
      <c r="E36" s="6"/>
      <c r="F36" s="171"/>
      <c r="G36" s="171"/>
      <c r="H36" s="171"/>
      <c r="I36" s="171">
        <v>630</v>
      </c>
      <c r="J36" s="164"/>
      <c r="K36" s="3">
        <v>160185</v>
      </c>
      <c r="L36" s="3">
        <v>1601850</v>
      </c>
    </row>
    <row r="37" spans="2:12">
      <c r="B37" s="163"/>
      <c r="C37" s="6"/>
      <c r="D37" s="6" t="s">
        <v>495</v>
      </c>
      <c r="E37" s="6"/>
      <c r="F37" s="171">
        <v>63</v>
      </c>
      <c r="G37" s="171">
        <v>0</v>
      </c>
      <c r="H37" s="171"/>
      <c r="I37" s="171"/>
      <c r="J37" s="164"/>
      <c r="K37" s="3">
        <f>SUM(K35:K36)</f>
        <v>231691</v>
      </c>
      <c r="L37" s="3">
        <f>SUM(L35:L36)</f>
        <v>2316916</v>
      </c>
    </row>
    <row r="38" spans="2:12">
      <c r="B38" s="165"/>
      <c r="C38" s="154"/>
      <c r="D38" s="154"/>
      <c r="E38" s="154"/>
      <c r="F38" s="172"/>
      <c r="G38" s="172"/>
      <c r="H38" s="172"/>
      <c r="I38" s="172"/>
      <c r="J38" s="166"/>
    </row>
    <row r="39" spans="2:12">
      <c r="B39" s="163"/>
      <c r="C39" s="6"/>
      <c r="D39" s="6"/>
      <c r="E39" s="6"/>
      <c r="F39" s="171"/>
      <c r="G39" s="171"/>
      <c r="H39" s="171"/>
      <c r="I39" s="171"/>
      <c r="J39" s="164"/>
    </row>
    <row r="40" spans="2:12">
      <c r="B40" s="163"/>
      <c r="C40" s="6" t="s">
        <v>564</v>
      </c>
      <c r="D40" s="6"/>
      <c r="E40" s="6"/>
      <c r="F40" s="171"/>
      <c r="G40" s="171"/>
      <c r="H40" s="171">
        <f>'Provision-Final'!L43</f>
        <v>843477.47666297131</v>
      </c>
      <c r="I40" s="171"/>
      <c r="J40" s="164" t="s">
        <v>363</v>
      </c>
    </row>
    <row r="41" spans="2:12">
      <c r="B41" s="163"/>
      <c r="C41" s="6"/>
      <c r="D41" s="6" t="s">
        <v>361</v>
      </c>
      <c r="E41" s="6"/>
      <c r="F41" s="171"/>
      <c r="G41" s="171">
        <f>47619+33928</f>
        <v>81547</v>
      </c>
      <c r="H41" s="171"/>
      <c r="I41" s="171"/>
      <c r="J41" s="164"/>
    </row>
    <row r="42" spans="2:12">
      <c r="B42" s="163"/>
      <c r="C42" s="6"/>
      <c r="D42" s="6" t="s">
        <v>469</v>
      </c>
      <c r="E42" s="6"/>
      <c r="F42" s="171"/>
      <c r="G42" s="171">
        <f>169869.68+101732</f>
        <v>271601.68</v>
      </c>
      <c r="H42" s="171"/>
      <c r="I42" s="171"/>
      <c r="J42" s="164"/>
    </row>
    <row r="43" spans="2:12">
      <c r="B43" s="163"/>
      <c r="C43" s="6"/>
      <c r="D43" s="6" t="s">
        <v>566</v>
      </c>
      <c r="E43" s="6"/>
      <c r="F43" s="171"/>
      <c r="G43" s="171">
        <f>237935+64+63</f>
        <v>238062</v>
      </c>
      <c r="H43" s="171"/>
      <c r="I43" s="171"/>
      <c r="J43" s="164"/>
      <c r="K43" s="3">
        <f>G43-231691-6371</f>
        <v>0</v>
      </c>
    </row>
    <row r="44" spans="2:12">
      <c r="B44" s="163"/>
      <c r="C44" s="6"/>
      <c r="D44" s="6" t="s">
        <v>147</v>
      </c>
      <c r="E44" s="6"/>
      <c r="F44" s="171"/>
      <c r="G44" s="171">
        <f>H40-G41-G42-G43</f>
        <v>252266.79666297132</v>
      </c>
      <c r="H44" s="171"/>
      <c r="I44" s="171"/>
      <c r="J44" s="164"/>
    </row>
    <row r="45" spans="2:12">
      <c r="B45" s="163"/>
      <c r="C45" s="6"/>
      <c r="D45" s="6"/>
      <c r="E45" s="6"/>
      <c r="F45" s="171"/>
      <c r="G45" s="171"/>
      <c r="H45" s="171"/>
      <c r="I45" s="171"/>
      <c r="J45" s="164"/>
    </row>
    <row r="46" spans="2:12">
      <c r="B46" s="165"/>
      <c r="C46" s="154"/>
      <c r="D46" s="154"/>
      <c r="E46" s="154"/>
      <c r="F46" s="172"/>
      <c r="G46" s="172"/>
      <c r="H46" s="172"/>
      <c r="I46" s="172"/>
      <c r="J46" s="166"/>
    </row>
    <row r="47" spans="2:12">
      <c r="B47" s="163"/>
      <c r="C47" s="6"/>
      <c r="D47" s="6"/>
      <c r="E47" s="6"/>
      <c r="F47" s="171"/>
      <c r="G47" s="171"/>
      <c r="H47" s="171"/>
      <c r="I47" s="171"/>
      <c r="J47" s="164"/>
    </row>
    <row r="48" spans="2:12">
      <c r="B48" s="163"/>
      <c r="C48" s="6" t="s">
        <v>469</v>
      </c>
      <c r="D48" s="6"/>
      <c r="E48" s="6"/>
      <c r="F48" s="171">
        <f>101732</f>
        <v>101732</v>
      </c>
      <c r="G48" s="171"/>
      <c r="H48" s="171"/>
      <c r="I48" s="171"/>
      <c r="J48" s="164" t="s">
        <v>363</v>
      </c>
    </row>
    <row r="49" spans="2:10">
      <c r="B49" s="163"/>
      <c r="C49" s="6" t="s">
        <v>86</v>
      </c>
      <c r="D49" s="6"/>
      <c r="E49" s="6"/>
      <c r="F49" s="171"/>
      <c r="G49" s="171"/>
      <c r="H49" s="171">
        <f>59404</f>
        <v>59404</v>
      </c>
      <c r="I49" s="171"/>
      <c r="J49" s="164"/>
    </row>
    <row r="50" spans="2:10">
      <c r="B50" s="163"/>
      <c r="C50" s="6"/>
      <c r="D50" s="6" t="s">
        <v>487</v>
      </c>
      <c r="E50" s="6"/>
      <c r="F50" s="171"/>
      <c r="G50" s="171">
        <f>F48+H49</f>
        <v>161136</v>
      </c>
      <c r="H50" s="171"/>
      <c r="I50" s="171"/>
      <c r="J50" s="164"/>
    </row>
    <row r="51" spans="2:10">
      <c r="B51" s="165"/>
      <c r="C51" s="154"/>
      <c r="D51" s="154"/>
      <c r="E51" s="154"/>
      <c r="F51" s="172"/>
      <c r="G51" s="172"/>
      <c r="H51" s="172"/>
      <c r="I51" s="172"/>
      <c r="J51" s="166"/>
    </row>
    <row r="52" spans="2:10">
      <c r="B52" s="163"/>
      <c r="C52" s="6"/>
      <c r="E52" s="6"/>
      <c r="F52" s="171"/>
      <c r="G52" s="171"/>
      <c r="H52" s="171"/>
      <c r="I52" s="171"/>
      <c r="J52" s="164"/>
    </row>
    <row r="53" spans="2:10">
      <c r="B53" s="163"/>
      <c r="C53" s="6" t="s">
        <v>579</v>
      </c>
      <c r="D53" s="6"/>
      <c r="E53" s="6"/>
      <c r="F53" s="171"/>
      <c r="G53" s="171"/>
      <c r="H53" s="171">
        <v>600000</v>
      </c>
      <c r="I53" s="171"/>
      <c r="J53" s="164"/>
    </row>
    <row r="54" spans="2:10">
      <c r="B54" s="163"/>
      <c r="C54" s="6" t="s">
        <v>580</v>
      </c>
      <c r="D54" s="6"/>
      <c r="E54" s="6"/>
      <c r="F54" s="171"/>
      <c r="G54" s="171"/>
      <c r="H54" s="171">
        <v>398000</v>
      </c>
      <c r="I54" s="171"/>
      <c r="J54" s="164"/>
    </row>
    <row r="55" spans="2:10">
      <c r="B55" s="163"/>
      <c r="C55" s="6" t="s">
        <v>581</v>
      </c>
      <c r="D55" s="6"/>
      <c r="E55" s="6"/>
      <c r="F55" s="171"/>
      <c r="G55" s="171"/>
      <c r="H55" s="171">
        <v>398000</v>
      </c>
      <c r="I55" s="171"/>
      <c r="J55" s="164"/>
    </row>
    <row r="56" spans="2:10">
      <c r="B56" s="163"/>
      <c r="C56" s="6" t="s">
        <v>582</v>
      </c>
      <c r="D56" s="6"/>
      <c r="E56" s="6"/>
      <c r="F56" s="171"/>
      <c r="G56" s="171"/>
      <c r="H56" s="171">
        <v>168000</v>
      </c>
      <c r="I56" s="171"/>
      <c r="J56" s="164"/>
    </row>
    <row r="57" spans="2:10">
      <c r="B57" s="163"/>
      <c r="C57" s="6" t="s">
        <v>583</v>
      </c>
      <c r="D57" s="6"/>
      <c r="E57" s="6"/>
      <c r="F57" s="171"/>
      <c r="G57" s="171"/>
      <c r="H57" s="171">
        <v>168000</v>
      </c>
      <c r="I57" s="171"/>
      <c r="J57" s="164"/>
    </row>
    <row r="58" spans="2:10">
      <c r="B58" s="163"/>
      <c r="C58" s="6" t="s">
        <v>584</v>
      </c>
      <c r="D58" s="6"/>
      <c r="E58" s="6"/>
      <c r="F58" s="171"/>
      <c r="G58" s="171"/>
      <c r="H58" s="171">
        <v>180000</v>
      </c>
      <c r="I58" s="171"/>
      <c r="J58" s="164"/>
    </row>
    <row r="59" spans="2:10">
      <c r="B59" s="163"/>
      <c r="C59" s="6" t="s">
        <v>585</v>
      </c>
      <c r="D59" s="6"/>
      <c r="E59" s="6"/>
      <c r="F59" s="171"/>
      <c r="G59" s="171"/>
      <c r="H59" s="171">
        <v>180000</v>
      </c>
      <c r="I59" s="171"/>
      <c r="J59" s="164"/>
    </row>
    <row r="60" spans="2:10">
      <c r="B60" s="163"/>
      <c r="C60" s="6" t="s">
        <v>586</v>
      </c>
      <c r="D60" s="6"/>
      <c r="E60" s="6"/>
      <c r="F60" s="171"/>
      <c r="G60" s="171"/>
      <c r="H60" s="171">
        <v>360000</v>
      </c>
      <c r="I60" s="171"/>
      <c r="J60" s="164"/>
    </row>
    <row r="61" spans="2:10">
      <c r="B61" s="163"/>
      <c r="C61" s="6"/>
      <c r="D61" s="3" t="s">
        <v>84</v>
      </c>
      <c r="E61" s="6"/>
      <c r="F61" s="171"/>
      <c r="G61" s="171">
        <f>SUM(H53:H60)</f>
        <v>2452000</v>
      </c>
      <c r="H61" s="171"/>
      <c r="I61" s="171"/>
      <c r="J61" s="164"/>
    </row>
    <row r="62" spans="2:10">
      <c r="B62" s="165"/>
      <c r="C62" s="154"/>
      <c r="D62" s="154"/>
      <c r="E62" s="154"/>
      <c r="F62" s="172"/>
      <c r="G62" s="172"/>
      <c r="H62" s="172"/>
      <c r="I62" s="172"/>
      <c r="J62" s="166"/>
    </row>
    <row r="63" spans="2:10">
      <c r="B63" s="163"/>
      <c r="C63" s="6"/>
      <c r="E63" s="6"/>
      <c r="F63" s="171"/>
      <c r="G63" s="171"/>
      <c r="H63" s="171"/>
      <c r="I63" s="171"/>
      <c r="J63" s="164"/>
    </row>
    <row r="64" spans="2:10">
      <c r="B64" s="163"/>
      <c r="C64" s="6" t="s">
        <v>587</v>
      </c>
      <c r="E64" s="6"/>
      <c r="F64" s="171">
        <f>33928</f>
        <v>33928</v>
      </c>
      <c r="G64" s="171"/>
      <c r="H64" s="171"/>
      <c r="I64" s="171"/>
      <c r="J64" s="164"/>
    </row>
    <row r="65" spans="2:10">
      <c r="B65" s="163"/>
      <c r="C65" s="6" t="s">
        <v>487</v>
      </c>
      <c r="E65" s="6"/>
      <c r="F65" s="171">
        <f>I66-F64</f>
        <v>305350</v>
      </c>
      <c r="G65" s="171"/>
      <c r="H65" s="171"/>
      <c r="I65" s="171"/>
      <c r="J65" s="164"/>
    </row>
    <row r="66" spans="2:10">
      <c r="B66" s="163"/>
      <c r="C66" s="6" t="s">
        <v>351</v>
      </c>
      <c r="E66" s="6"/>
      <c r="F66" s="171"/>
      <c r="G66" s="171"/>
      <c r="H66" s="171"/>
      <c r="I66" s="171">
        <f>113937+191413+33928</f>
        <v>339278</v>
      </c>
      <c r="J66" s="164"/>
    </row>
    <row r="67" spans="2:10">
      <c r="B67" s="163"/>
      <c r="C67" s="6"/>
      <c r="E67" s="6"/>
      <c r="F67" s="171"/>
      <c r="G67" s="171"/>
      <c r="H67" s="171"/>
      <c r="I67" s="171"/>
      <c r="J67" s="164"/>
    </row>
    <row r="68" spans="2:10">
      <c r="B68" s="163"/>
      <c r="C68" s="6"/>
      <c r="E68" s="6"/>
      <c r="F68" s="171"/>
      <c r="G68" s="171"/>
      <c r="H68" s="171"/>
      <c r="I68" s="171"/>
      <c r="J68" s="164"/>
    </row>
    <row r="69" spans="2:10">
      <c r="B69" s="163"/>
      <c r="C69" s="6"/>
      <c r="E69" s="6"/>
      <c r="F69" s="171"/>
      <c r="G69" s="171"/>
      <c r="H69" s="171"/>
      <c r="I69" s="171"/>
      <c r="J69" s="164"/>
    </row>
    <row r="70" spans="2:10">
      <c r="B70" s="163"/>
      <c r="C70" s="6"/>
      <c r="E70" s="6"/>
      <c r="F70" s="171"/>
      <c r="G70" s="171"/>
      <c r="H70" s="171"/>
      <c r="I70" s="171"/>
      <c r="J70" s="164"/>
    </row>
    <row r="71" spans="2:10" ht="16.5" thickBot="1">
      <c r="B71" s="167"/>
      <c r="C71" s="168"/>
      <c r="D71" s="168"/>
      <c r="E71" s="168"/>
      <c r="F71" s="173"/>
      <c r="G71" s="173"/>
      <c r="H71" s="173"/>
      <c r="I71" s="173"/>
      <c r="J71" s="169"/>
    </row>
    <row r="72" spans="2:10" ht="16.5" thickTop="1">
      <c r="F72" s="4">
        <f>SUM(F8:F71)</f>
        <v>2763731</v>
      </c>
      <c r="G72" s="4">
        <f>SUM(G8:G71)</f>
        <v>3489722.4766629711</v>
      </c>
      <c r="H72" s="4">
        <f>SUM(H8:H71)</f>
        <v>3420137.4766629711</v>
      </c>
      <c r="I72" s="4">
        <f>SUM(I8:I71)</f>
        <v>2694146</v>
      </c>
      <c r="J72" s="3" t="s">
        <v>363</v>
      </c>
    </row>
    <row r="73" spans="2:10">
      <c r="F73" s="4"/>
      <c r="G73" s="4"/>
      <c r="H73" s="4"/>
      <c r="I73" s="4"/>
      <c r="J73" s="4"/>
    </row>
    <row r="74" spans="2:10">
      <c r="F74" s="4">
        <f>F72+H72</f>
        <v>6183868.4766629711</v>
      </c>
      <c r="G74" s="4">
        <f>G72+I72</f>
        <v>6183868.4766629711</v>
      </c>
      <c r="H74" s="4"/>
      <c r="I74" s="4"/>
      <c r="J74" s="4"/>
    </row>
    <row r="75" spans="2:10">
      <c r="F75" s="4">
        <f>F74-G74</f>
        <v>0</v>
      </c>
      <c r="G75" s="4"/>
      <c r="H75" s="4"/>
      <c r="I75" s="4"/>
      <c r="J75" s="4"/>
    </row>
    <row r="76" spans="2:10"/>
    <row r="77" spans="2:10"/>
    <row r="78" spans="2:10"/>
    <row r="79" spans="2:10"/>
    <row r="80" spans="2:10"/>
    <row r="81"/>
    <row r="82"/>
    <row r="83"/>
    <row r="84"/>
    <row r="85"/>
    <row r="86"/>
    <row r="87"/>
    <row r="88"/>
    <row r="89"/>
    <row r="90"/>
    <row r="91"/>
    <row r="92"/>
    <row r="93"/>
    <row r="94"/>
    <row r="95"/>
    <row r="96"/>
    <row r="97"/>
    <row r="98"/>
    <row r="99"/>
    <row r="100"/>
    <row r="101"/>
    <row r="102"/>
    <row r="103"/>
    <row r="104"/>
    <row r="105"/>
  </sheetData>
  <mergeCells count="6">
    <mergeCell ref="L11:L13"/>
    <mergeCell ref="F4:G4"/>
    <mergeCell ref="H4:I4"/>
    <mergeCell ref="J4:J5"/>
    <mergeCell ref="C4:E5"/>
    <mergeCell ref="B4:B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theme="9" tint="0.39997558519241921"/>
    <pageSetUpPr fitToPage="1"/>
  </sheetPr>
  <dimension ref="B1:O181"/>
  <sheetViews>
    <sheetView defaultGridColor="0" view="pageBreakPreview" topLeftCell="A4" colorId="22" zoomScale="85" zoomScaleNormal="85" zoomScaleSheetLayoutView="85" workbookViewId="0">
      <selection activeCell="C23" sqref="C23"/>
    </sheetView>
  </sheetViews>
  <sheetFormatPr defaultRowHeight="15.75"/>
  <cols>
    <col min="1" max="1" width="4.44140625" style="418" customWidth="1"/>
    <col min="2" max="2" width="3.33203125" style="418" customWidth="1"/>
    <col min="3" max="3" width="43.109375" style="418" customWidth="1"/>
    <col min="4" max="4" width="6.21875" style="418" customWidth="1"/>
    <col min="5" max="5" width="0.77734375" style="418" customWidth="1"/>
    <col min="6" max="6" width="11.109375" style="418" customWidth="1"/>
    <col min="7" max="7" width="2.21875" style="418" customWidth="1"/>
    <col min="8" max="8" width="10.5546875" style="418" bestFit="1" customWidth="1"/>
    <col min="9" max="9" width="1.44140625" style="418" customWidth="1"/>
    <col min="10" max="10" width="10.77734375" style="418" bestFit="1" customWidth="1"/>
    <col min="11" max="11" width="9.5546875" style="418" bestFit="1" customWidth="1"/>
    <col min="12" max="12" width="9.88671875" style="418" bestFit="1" customWidth="1"/>
    <col min="13" max="14" width="8.88671875" style="418"/>
    <col min="15" max="15" width="9.88671875" style="418" bestFit="1" customWidth="1"/>
    <col min="16" max="16384" width="8.88671875" style="418"/>
  </cols>
  <sheetData>
    <row r="1" spans="2:13" ht="16.5">
      <c r="B1" s="273" t="s">
        <v>4</v>
      </c>
      <c r="C1" s="417"/>
      <c r="D1" s="417"/>
      <c r="E1" s="417"/>
      <c r="F1" s="417"/>
      <c r="G1" s="417"/>
      <c r="H1" s="417"/>
    </row>
    <row r="2" spans="2:13" ht="16.5">
      <c r="B2" s="417" t="s">
        <v>567</v>
      </c>
      <c r="C2" s="417"/>
      <c r="D2" s="417"/>
      <c r="F2" s="417"/>
      <c r="G2" s="417"/>
      <c r="H2" s="417"/>
      <c r="K2" s="418">
        <f>3000/5</f>
        <v>600</v>
      </c>
      <c r="L2" s="418">
        <f>K2/5</f>
        <v>120</v>
      </c>
    </row>
    <row r="3" spans="2:13" ht="16.5">
      <c r="B3" s="421" t="s">
        <v>405</v>
      </c>
    </row>
    <row r="4" spans="2:13" ht="16.5">
      <c r="F4" s="419">
        <v>2015</v>
      </c>
      <c r="G4" s="420"/>
      <c r="H4" s="419">
        <v>2014</v>
      </c>
    </row>
    <row r="5" spans="2:13" ht="16.5">
      <c r="B5" s="421"/>
      <c r="D5" s="422" t="s">
        <v>52</v>
      </c>
      <c r="F5" s="423" t="s">
        <v>0</v>
      </c>
      <c r="G5" s="424"/>
      <c r="H5" s="423" t="s">
        <v>0</v>
      </c>
    </row>
    <row r="6" spans="2:13" ht="16.5">
      <c r="B6" s="421" t="s">
        <v>568</v>
      </c>
      <c r="K6" s="418">
        <f>+J11*11.32</f>
        <v>3820386.8000000003</v>
      </c>
    </row>
    <row r="7" spans="2:13" ht="8.1" customHeight="1">
      <c r="B7" s="421"/>
    </row>
    <row r="8" spans="2:13" ht="16.5">
      <c r="B8" s="421" t="s">
        <v>569</v>
      </c>
      <c r="C8" s="421"/>
      <c r="D8" s="421"/>
      <c r="E8" s="421"/>
      <c r="F8" s="421"/>
      <c r="G8" s="421"/>
      <c r="L8" s="418">
        <f>+K12*0.4*11.32</f>
        <v>3821066</v>
      </c>
    </row>
    <row r="9" spans="2:13" ht="8.1" customHeight="1">
      <c r="B9" s="421"/>
      <c r="C9" s="425"/>
      <c r="D9" s="425"/>
      <c r="E9" s="425"/>
      <c r="F9" s="426"/>
      <c r="G9" s="425"/>
      <c r="H9" s="426"/>
    </row>
    <row r="10" spans="2:13" ht="16.5">
      <c r="B10" s="421"/>
      <c r="C10" s="418" t="s">
        <v>570</v>
      </c>
      <c r="D10" s="422" t="str">
        <f>'Fixed Assets'!B3</f>
        <v>3</v>
      </c>
      <c r="E10" s="427"/>
      <c r="F10" s="428">
        <f>'Fixed Assets'!K23</f>
        <v>126569.08699999998</v>
      </c>
      <c r="G10" s="427"/>
      <c r="H10" s="428">
        <v>146038</v>
      </c>
      <c r="K10" s="418">
        <f>+K12*10</f>
        <v>8438750</v>
      </c>
      <c r="L10" s="418">
        <f>30000000-K10</f>
        <v>21561250</v>
      </c>
    </row>
    <row r="11" spans="2:13" ht="16.5">
      <c r="B11" s="421"/>
      <c r="C11" s="418" t="s">
        <v>119</v>
      </c>
      <c r="D11" s="422">
        <f>'Notes (2)'!B149</f>
        <v>4</v>
      </c>
      <c r="E11" s="427"/>
      <c r="F11" s="429">
        <f>'Notes (2)'!I154</f>
        <v>1241955</v>
      </c>
      <c r="G11" s="427"/>
      <c r="H11" s="429">
        <f>'Notes (2)'!K154</f>
        <v>1241955</v>
      </c>
      <c r="J11" s="418">
        <v>337490</v>
      </c>
    </row>
    <row r="12" spans="2:13" ht="16.5">
      <c r="B12" s="421"/>
      <c r="C12" s="418" t="s">
        <v>145</v>
      </c>
      <c r="D12" s="422">
        <f>'Notes (2)'!B163</f>
        <v>5</v>
      </c>
      <c r="E12" s="427"/>
      <c r="F12" s="429">
        <f>'Notes (2)'!I167</f>
        <v>1758045</v>
      </c>
      <c r="G12" s="427"/>
      <c r="H12" s="429">
        <f>'Notes (2)'!K167</f>
        <v>1758045</v>
      </c>
      <c r="J12" s="418">
        <v>506385</v>
      </c>
      <c r="K12" s="418">
        <f>+J11+J12</f>
        <v>843875</v>
      </c>
      <c r="L12" s="418">
        <f>+K12*0.4</f>
        <v>337550</v>
      </c>
      <c r="M12" s="418">
        <f>+K12*0.6</f>
        <v>506325</v>
      </c>
    </row>
    <row r="13" spans="2:13" ht="16.5">
      <c r="B13" s="421"/>
      <c r="C13" s="418" t="s">
        <v>50</v>
      </c>
      <c r="D13" s="422"/>
      <c r="E13" s="427"/>
      <c r="F13" s="430">
        <f>400000</f>
        <v>400000</v>
      </c>
      <c r="G13" s="427"/>
      <c r="H13" s="430">
        <f>400000</f>
        <v>400000</v>
      </c>
    </row>
    <row r="14" spans="2:13" ht="8.1" customHeight="1">
      <c r="B14" s="421"/>
      <c r="C14" s="421"/>
      <c r="D14" s="422"/>
      <c r="E14" s="422"/>
      <c r="F14" s="426"/>
      <c r="G14" s="422"/>
      <c r="H14" s="426"/>
    </row>
    <row r="15" spans="2:13" ht="16.5">
      <c r="B15" s="421"/>
      <c r="D15" s="431"/>
      <c r="E15" s="432"/>
      <c r="F15" s="426">
        <f>SUM(F10:F14)</f>
        <v>3526569.0870000003</v>
      </c>
      <c r="G15" s="432"/>
      <c r="H15" s="426">
        <f>SUM(H10:H14)</f>
        <v>3546038</v>
      </c>
      <c r="L15" s="418">
        <f>+J11*10</f>
        <v>3374900</v>
      </c>
    </row>
    <row r="16" spans="2:13" ht="16.5">
      <c r="B16" s="421" t="s">
        <v>2</v>
      </c>
      <c r="D16" s="422"/>
      <c r="E16" s="427"/>
      <c r="F16" s="426"/>
      <c r="G16" s="427"/>
      <c r="H16" s="426"/>
      <c r="J16" s="418">
        <f>+H16-F16</f>
        <v>0</v>
      </c>
      <c r="K16" s="418" t="e">
        <f>+J16+'[3]CASH FLOW'!#REF!</f>
        <v>#REF!</v>
      </c>
      <c r="L16" s="418">
        <f>4000000-L15</f>
        <v>625100</v>
      </c>
    </row>
    <row r="17" spans="2:12" ht="8.1" customHeight="1">
      <c r="B17" s="421"/>
      <c r="D17" s="422"/>
      <c r="E17" s="427"/>
      <c r="F17" s="426"/>
      <c r="G17" s="427"/>
      <c r="H17" s="426"/>
    </row>
    <row r="18" spans="2:12" ht="16.5">
      <c r="B18" s="421"/>
      <c r="C18" s="418" t="s">
        <v>172</v>
      </c>
      <c r="D18" s="422">
        <f>'Notes (2)'!B186</f>
        <v>6</v>
      </c>
      <c r="E18" s="427"/>
      <c r="F18" s="428">
        <f>'Trial 15 (2)'!L21+'Trial 15 (2)'!L24+'Trial 15 (2)'!L25+'Trial 15 (2)'!L30+'Trial 15 (2)'!L34+'Trial 15 (2)'!L38+'Trial 15 (2)'!L44+'Trial 15 (2)'!L45+'Trial 15 (2)'!L46+'Trial 15 (2)'!L47+'Trial 15 (2)'!L48+'Trial 15 (2)'!L49+'Trial 15 (2)'!L54+'Trial 15 (2)'!L55+'Trial 15 (2)'!L57+'Trial 15 (2)'!L58+'Trial 15 (2)'!L61+'Trial 15 (2)'!L62+'Trial 15 (2)'!L63+'Trial 15 (2)'!L64+'Trial 15 (2)'!L65+'Trial 15 (2)'!L71+'Trial 15 (2)'!L72+'Trial 15 (2)'!L74+'Trial 15 (2)'!L76+'Trial 15 (2)'!L77</f>
        <v>22032069.84</v>
      </c>
      <c r="G18" s="427"/>
      <c r="H18" s="428">
        <v>11323762</v>
      </c>
    </row>
    <row r="19" spans="2:12" ht="16.5">
      <c r="B19" s="421"/>
      <c r="C19" s="418" t="s">
        <v>571</v>
      </c>
      <c r="D19" s="422">
        <f>'Notes (2)'!B192</f>
        <v>7</v>
      </c>
      <c r="E19" s="427"/>
      <c r="F19" s="429">
        <f>'Notes (2)'!I200</f>
        <v>0</v>
      </c>
      <c r="G19" s="427"/>
      <c r="H19" s="429">
        <f>'Notes (2)'!K200</f>
        <v>10649040.209999999</v>
      </c>
      <c r="J19" s="418">
        <f>+H19-F19</f>
        <v>10649040.209999999</v>
      </c>
    </row>
    <row r="20" spans="2:12" ht="16.5" hidden="1">
      <c r="B20" s="421"/>
      <c r="C20" s="418" t="s">
        <v>492</v>
      </c>
      <c r="D20" s="422"/>
      <c r="E20" s="427"/>
      <c r="F20" s="429">
        <f>0</f>
        <v>0</v>
      </c>
      <c r="G20" s="427"/>
      <c r="H20" s="429">
        <f>0</f>
        <v>0</v>
      </c>
      <c r="L20" s="418" t="e">
        <f>+#REF!*11.32</f>
        <v>#REF!</v>
      </c>
    </row>
    <row r="21" spans="2:12" ht="16.5">
      <c r="B21" s="421"/>
      <c r="C21" s="418" t="s">
        <v>114</v>
      </c>
      <c r="D21" s="422">
        <f>'Notes (2)'!B202</f>
        <v>8</v>
      </c>
      <c r="E21" s="427"/>
      <c r="F21" s="430">
        <f>'Notes (2)'!I209</f>
        <v>33821684.68</v>
      </c>
      <c r="G21" s="427"/>
      <c r="H21" s="430">
        <f>'Notes (2)'!K209</f>
        <v>44659740.670000002</v>
      </c>
      <c r="J21" s="418">
        <f>26000000-F12</f>
        <v>24241955</v>
      </c>
      <c r="L21" s="418" t="e">
        <f>+F12-L20-#REF!</f>
        <v>#REF!</v>
      </c>
    </row>
    <row r="22" spans="2:12" ht="8.1" customHeight="1">
      <c r="B22" s="421"/>
      <c r="D22" s="422"/>
      <c r="E22" s="427"/>
      <c r="F22" s="426"/>
      <c r="G22" s="427"/>
      <c r="H22" s="426"/>
    </row>
    <row r="23" spans="2:12" ht="16.5">
      <c r="B23" s="421"/>
      <c r="D23" s="422"/>
      <c r="E23" s="427"/>
      <c r="F23" s="426">
        <f>SUM(F18:F21)</f>
        <v>55853754.519999996</v>
      </c>
      <c r="G23" s="427"/>
      <c r="H23" s="426">
        <f>SUM(H18:H21)</f>
        <v>66632542.880000003</v>
      </c>
    </row>
    <row r="24" spans="2:12" ht="8.1" customHeight="1">
      <c r="B24" s="421"/>
      <c r="D24" s="422"/>
      <c r="E24" s="427"/>
      <c r="F24" s="433"/>
      <c r="G24" s="427"/>
      <c r="H24" s="433"/>
    </row>
    <row r="25" spans="2:12" ht="17.25" thickBot="1">
      <c r="B25" s="421"/>
      <c r="D25" s="422"/>
      <c r="E25" s="427"/>
      <c r="F25" s="426">
        <f>ROUND(F15+F23,0)+1</f>
        <v>59380325</v>
      </c>
      <c r="G25" s="427"/>
      <c r="H25" s="426">
        <f>ROUND(H15+H23,0)</f>
        <v>70178581</v>
      </c>
    </row>
    <row r="26" spans="2:12" ht="8.1" customHeight="1" thickTop="1">
      <c r="B26" s="421"/>
      <c r="D26" s="422"/>
      <c r="E26" s="427"/>
      <c r="F26" s="434"/>
      <c r="G26" s="427"/>
      <c r="H26" s="434"/>
    </row>
    <row r="27" spans="2:12" ht="16.5">
      <c r="B27" s="421" t="s">
        <v>572</v>
      </c>
      <c r="D27" s="422"/>
      <c r="E27" s="427"/>
      <c r="F27" s="426"/>
      <c r="G27" s="427"/>
      <c r="H27" s="426"/>
    </row>
    <row r="28" spans="2:12" ht="8.1" customHeight="1">
      <c r="B28" s="421"/>
      <c r="D28" s="422"/>
      <c r="E28" s="427"/>
      <c r="F28" s="426"/>
      <c r="G28" s="427"/>
      <c r="H28" s="426"/>
    </row>
    <row r="29" spans="2:12" ht="16.5">
      <c r="B29" s="421" t="s">
        <v>573</v>
      </c>
      <c r="D29" s="422"/>
      <c r="E29" s="427"/>
      <c r="F29" s="426"/>
      <c r="G29" s="427"/>
      <c r="H29" s="426"/>
    </row>
    <row r="30" spans="2:12" ht="9" customHeight="1">
      <c r="B30" s="421"/>
      <c r="D30" s="422"/>
      <c r="E30" s="427"/>
      <c r="F30" s="426"/>
      <c r="G30" s="427"/>
      <c r="H30" s="426"/>
    </row>
    <row r="31" spans="2:12" ht="16.5">
      <c r="B31" s="435"/>
      <c r="C31" s="418" t="s">
        <v>574</v>
      </c>
      <c r="D31" s="422">
        <f>'Notes (2)'!B211</f>
        <v>9</v>
      </c>
      <c r="E31" s="427"/>
      <c r="F31" s="426">
        <f>'Notes (2)'!I217</f>
        <v>10000000</v>
      </c>
      <c r="G31" s="426"/>
      <c r="H31" s="426">
        <f>'Notes (2)'!K217</f>
        <v>10000000</v>
      </c>
      <c r="K31" s="418">
        <f>5655986*0.16</f>
        <v>904957.76</v>
      </c>
    </row>
    <row r="32" spans="2:12" ht="16.5">
      <c r="B32" s="435"/>
      <c r="C32" s="418" t="s">
        <v>515</v>
      </c>
      <c r="D32" s="422"/>
      <c r="E32" s="427"/>
      <c r="F32" s="426">
        <f>SOCE!D25</f>
        <v>3473103.7249970282</v>
      </c>
      <c r="G32" s="427"/>
      <c r="H32" s="426">
        <f>SOCE!D20</f>
        <v>1970879</v>
      </c>
      <c r="K32" s="418">
        <f>84+30+30+22</f>
        <v>166</v>
      </c>
    </row>
    <row r="33" spans="2:15" ht="8.1" customHeight="1">
      <c r="B33" s="435"/>
      <c r="D33" s="422"/>
      <c r="E33" s="427"/>
      <c r="F33" s="433"/>
      <c r="G33" s="427"/>
      <c r="H33" s="433"/>
    </row>
    <row r="34" spans="2:15" ht="16.5">
      <c r="B34" s="435"/>
      <c r="D34" s="422"/>
      <c r="E34" s="427"/>
      <c r="F34" s="436">
        <f>F31+F32</f>
        <v>13473103.724997029</v>
      </c>
      <c r="G34" s="427"/>
      <c r="H34" s="436">
        <f>H31+H32</f>
        <v>11970879</v>
      </c>
    </row>
    <row r="35" spans="2:15" ht="16.5">
      <c r="B35" s="435" t="s">
        <v>575</v>
      </c>
      <c r="D35" s="422"/>
      <c r="E35" s="427"/>
      <c r="F35" s="436"/>
      <c r="G35" s="427"/>
      <c r="H35" s="436"/>
    </row>
    <row r="36" spans="2:15" ht="8.1" customHeight="1">
      <c r="B36" s="435"/>
      <c r="D36" s="422"/>
      <c r="E36" s="427"/>
      <c r="F36" s="426"/>
      <c r="G36" s="427"/>
      <c r="H36" s="436"/>
    </row>
    <row r="37" spans="2:15" ht="16.5">
      <c r="C37" s="435" t="s">
        <v>576</v>
      </c>
      <c r="D37" s="422"/>
      <c r="E37" s="427"/>
      <c r="F37" s="426"/>
      <c r="G37" s="427"/>
      <c r="H37" s="436"/>
      <c r="L37" s="418">
        <f>70903+5120</f>
        <v>76023</v>
      </c>
    </row>
    <row r="38" spans="2:15" ht="16.5">
      <c r="B38" s="435"/>
      <c r="C38" s="437" t="s">
        <v>190</v>
      </c>
      <c r="D38" s="422">
        <f>'Notes (2)'!B219</f>
        <v>10</v>
      </c>
      <c r="E38" s="427"/>
      <c r="F38" s="438">
        <f>'Notes (2)'!I227</f>
        <v>8246.2604399999982</v>
      </c>
      <c r="G38" s="439"/>
      <c r="H38" s="438">
        <f>'Notes (2)'!K227</f>
        <v>8353.1150999999954</v>
      </c>
      <c r="L38" s="418">
        <f>+L37+74060+1735</f>
        <v>151818</v>
      </c>
    </row>
    <row r="39" spans="2:15" ht="8.1" customHeight="1">
      <c r="B39" s="435"/>
      <c r="D39" s="422"/>
      <c r="E39" s="427"/>
      <c r="F39" s="436"/>
      <c r="G39" s="427"/>
      <c r="H39" s="436"/>
    </row>
    <row r="40" spans="2:15" ht="16.5">
      <c r="B40" s="435"/>
      <c r="D40" s="422"/>
      <c r="E40" s="427"/>
      <c r="F40" s="436">
        <f>SUM(F38:F38)</f>
        <v>8246.2604399999982</v>
      </c>
      <c r="G40" s="427"/>
      <c r="H40" s="436">
        <f>SUM(H38:H38)</f>
        <v>8353.1150999999954</v>
      </c>
    </row>
    <row r="41" spans="2:15" ht="16.5">
      <c r="B41" s="421" t="s">
        <v>1</v>
      </c>
      <c r="D41" s="422"/>
      <c r="E41" s="427"/>
      <c r="F41" s="436"/>
      <c r="G41" s="427"/>
      <c r="H41" s="436"/>
    </row>
    <row r="42" spans="2:15" ht="8.1" customHeight="1">
      <c r="B42" s="421"/>
      <c r="D42" s="422"/>
      <c r="E42" s="427"/>
      <c r="F42" s="436"/>
      <c r="G42" s="427"/>
      <c r="H42" s="436"/>
    </row>
    <row r="43" spans="2:15" s="436" customFormat="1" ht="16.5">
      <c r="B43" s="440"/>
      <c r="C43" s="418" t="s">
        <v>174</v>
      </c>
      <c r="D43" s="422">
        <f>'Notes (2)'!B232</f>
        <v>11</v>
      </c>
      <c r="E43" s="427"/>
      <c r="F43" s="428">
        <f>'Notes (2)'!I237</f>
        <v>17385006.680000003</v>
      </c>
      <c r="G43" s="427"/>
      <c r="H43" s="428">
        <f>'Notes (2)'!K237</f>
        <v>29662966.780000001</v>
      </c>
      <c r="J43" s="436">
        <f>F44-H44</f>
        <v>-144214</v>
      </c>
      <c r="K43" s="436">
        <f>H44-F44</f>
        <v>144214</v>
      </c>
    </row>
    <row r="44" spans="2:15" s="436" customFormat="1" ht="16.5">
      <c r="B44" s="440"/>
      <c r="C44" s="418" t="s">
        <v>143</v>
      </c>
      <c r="D44" s="422"/>
      <c r="E44" s="427"/>
      <c r="F44" s="429">
        <f>'Trial 15 (2)'!M22</f>
        <v>28261699.25</v>
      </c>
      <c r="G44" s="427"/>
      <c r="H44" s="429">
        <v>28405913.25</v>
      </c>
      <c r="J44" s="436">
        <v>145749.08296250005</v>
      </c>
      <c r="K44" s="426">
        <f>+[3]Notes!P227</f>
        <v>-951207.95699999994</v>
      </c>
      <c r="O44" s="436">
        <v>1800</v>
      </c>
    </row>
    <row r="45" spans="2:15" s="436" customFormat="1" ht="16.5">
      <c r="B45" s="440"/>
      <c r="C45" s="418" t="s">
        <v>57</v>
      </c>
      <c r="D45" s="422"/>
      <c r="E45" s="427"/>
      <c r="F45" s="430">
        <f>'Trial 15 (2)'!M79</f>
        <v>252268.79666297132</v>
      </c>
      <c r="G45" s="427"/>
      <c r="H45" s="430">
        <v>130468.55982076039</v>
      </c>
      <c r="K45" s="426"/>
      <c r="O45" s="436">
        <v>66000</v>
      </c>
    </row>
    <row r="46" spans="2:15" s="436" customFormat="1" ht="8.1" customHeight="1">
      <c r="B46" s="440"/>
      <c r="C46" s="418"/>
      <c r="D46" s="422"/>
      <c r="E46" s="427"/>
      <c r="F46" s="426"/>
      <c r="G46" s="427"/>
      <c r="H46" s="426"/>
      <c r="L46" s="436">
        <f>588360+73572-226018</f>
        <v>435914</v>
      </c>
      <c r="O46" s="436">
        <v>1960</v>
      </c>
    </row>
    <row r="47" spans="2:15" s="436" customFormat="1" ht="16.5">
      <c r="B47" s="440"/>
      <c r="C47" s="418"/>
      <c r="D47" s="422"/>
      <c r="E47" s="427"/>
      <c r="F47" s="426">
        <f>SUM(F43:F45)</f>
        <v>45898974.726662979</v>
      </c>
      <c r="G47" s="427"/>
      <c r="H47" s="426">
        <f>SUM(H43:H45)</f>
        <v>58199348.589820765</v>
      </c>
    </row>
    <row r="48" spans="2:15" s="436" customFormat="1" ht="16.5">
      <c r="B48" s="440"/>
      <c r="C48" s="418"/>
      <c r="D48" s="422"/>
      <c r="E48" s="427"/>
      <c r="F48" s="426"/>
      <c r="G48" s="427"/>
      <c r="H48" s="426"/>
    </row>
    <row r="49" spans="2:15" s="436" customFormat="1" ht="16.5">
      <c r="B49" s="440" t="s">
        <v>204</v>
      </c>
      <c r="C49" s="418"/>
      <c r="D49" s="422">
        <f>'Notes (2)'!B239</f>
        <v>12</v>
      </c>
      <c r="E49" s="427"/>
      <c r="F49" s="426">
        <v>0</v>
      </c>
      <c r="G49" s="427"/>
      <c r="H49" s="426">
        <v>0</v>
      </c>
      <c r="N49" s="436">
        <f>+H44</f>
        <v>28405913.25</v>
      </c>
    </row>
    <row r="50" spans="2:15" s="436" customFormat="1" ht="8.1" customHeight="1">
      <c r="B50" s="440"/>
      <c r="C50" s="418"/>
      <c r="D50" s="422"/>
      <c r="E50" s="427"/>
      <c r="F50" s="426"/>
      <c r="G50" s="427"/>
      <c r="H50" s="426"/>
    </row>
    <row r="51" spans="2:15" ht="16.5">
      <c r="B51" s="421"/>
      <c r="D51" s="422"/>
      <c r="E51" s="427"/>
      <c r="F51" s="433"/>
      <c r="G51" s="427"/>
      <c r="H51" s="433"/>
      <c r="L51" s="418">
        <f>-H44+F44-'[3]Profit and Loss'!F28</f>
        <v>-405725.00069999998</v>
      </c>
      <c r="O51" s="418">
        <f>5984*12</f>
        <v>71808</v>
      </c>
    </row>
    <row r="52" spans="2:15" ht="17.25" thickBot="1">
      <c r="B52" s="421"/>
      <c r="D52" s="427"/>
      <c r="E52" s="427"/>
      <c r="F52" s="436">
        <f>+F43+F40+F34+F44+F45</f>
        <v>59380324.712099999</v>
      </c>
      <c r="G52" s="427"/>
      <c r="H52" s="436">
        <f>+H43+H40+H34+H44+H45</f>
        <v>70178580.704920754</v>
      </c>
      <c r="O52" s="418">
        <f>SUM(O44:O51)</f>
        <v>141568</v>
      </c>
    </row>
    <row r="53" spans="2:15" ht="17.25" thickTop="1">
      <c r="B53" s="421"/>
      <c r="D53" s="427"/>
      <c r="E53" s="427"/>
      <c r="F53" s="434"/>
      <c r="G53" s="427"/>
      <c r="H53" s="434"/>
      <c r="M53" s="418">
        <f>+F44</f>
        <v>28261699.25</v>
      </c>
    </row>
    <row r="54" spans="2:15">
      <c r="B54" s="418" t="s">
        <v>39</v>
      </c>
      <c r="J54" s="418">
        <f>+H52+F52</f>
        <v>129558905.41702075</v>
      </c>
    </row>
    <row r="55" spans="2:15" ht="16.5">
      <c r="B55" s="421"/>
      <c r="J55" s="418">
        <f>+J54/2</f>
        <v>64779452.708510377</v>
      </c>
    </row>
    <row r="56" spans="2:15" ht="16.5">
      <c r="B56" s="421"/>
    </row>
    <row r="58" spans="2:15" ht="16.5">
      <c r="B58" s="421" t="s">
        <v>6</v>
      </c>
      <c r="G58" s="440" t="s">
        <v>7</v>
      </c>
    </row>
    <row r="61" spans="2:15">
      <c r="F61" s="441">
        <f>F52-F25</f>
        <v>-0.28790000081062317</v>
      </c>
      <c r="H61" s="418">
        <f>H52-H25</f>
        <v>-0.29507924616336823</v>
      </c>
    </row>
    <row r="63" spans="2:15" ht="15.75" customHeight="1">
      <c r="C63" s="442"/>
      <c r="D63" s="443"/>
      <c r="E63" s="443"/>
      <c r="F63" s="443"/>
      <c r="G63" s="443"/>
      <c r="H63" s="443"/>
    </row>
    <row r="64" spans="2:15">
      <c r="D64" s="443"/>
      <c r="E64" s="443"/>
      <c r="F64" s="443">
        <v>0</v>
      </c>
      <c r="G64" s="443"/>
      <c r="H64" s="443"/>
    </row>
    <row r="88" spans="3:7">
      <c r="C88" s="461"/>
      <c r="D88" s="461"/>
      <c r="E88" s="444"/>
      <c r="F88" s="444"/>
      <c r="G88" s="444"/>
    </row>
    <row r="108" spans="3:3">
      <c r="C108" s="418" t="s">
        <v>61</v>
      </c>
    </row>
    <row r="158" spans="3:3">
      <c r="C158" s="418" t="s">
        <v>62</v>
      </c>
    </row>
    <row r="175" spans="2:3" ht="16.5">
      <c r="B175" s="442" t="s">
        <v>63</v>
      </c>
      <c r="C175" s="421" t="s">
        <v>64</v>
      </c>
    </row>
    <row r="177" spans="2:3">
      <c r="C177" s="418" t="s">
        <v>65</v>
      </c>
    </row>
    <row r="179" spans="2:3">
      <c r="C179" s="418" t="s">
        <v>66</v>
      </c>
    </row>
    <row r="181" spans="2:3">
      <c r="B181" s="425" t="s">
        <v>67</v>
      </c>
    </row>
  </sheetData>
  <mergeCells count="1">
    <mergeCell ref="C88:D88"/>
  </mergeCells>
  <printOptions horizontalCentered="1"/>
  <pageMargins left="0.75" right="0.25" top="0.69" bottom="0.2" header="0.37" footer="0.2"/>
  <pageSetup paperSize="9" scale="96" orientation="portrait"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B2:P52"/>
  <sheetViews>
    <sheetView view="pageBreakPreview" topLeftCell="B7" zoomScale="85" zoomScaleNormal="100" zoomScaleSheetLayoutView="85" workbookViewId="0">
      <selection activeCell="D30" sqref="D30"/>
    </sheetView>
  </sheetViews>
  <sheetFormatPr defaultColWidth="9.21875" defaultRowHeight="15.75"/>
  <cols>
    <col min="1" max="1" width="3" style="68" customWidth="1"/>
    <col min="2" max="2" width="40.6640625" style="68" customWidth="1"/>
    <col min="3" max="3" width="4.88671875" style="68" customWidth="1"/>
    <col min="4" max="4" width="11.109375" style="251" customWidth="1"/>
    <col min="5" max="5" width="1.77734375" style="68" customWidth="1"/>
    <col min="6" max="6" width="10.77734375" style="68" customWidth="1"/>
    <col min="7" max="7" width="1.77734375" style="68" customWidth="1"/>
    <col min="8" max="8" width="0.77734375" style="68" customWidth="1"/>
    <col min="9" max="9" width="38.6640625" style="68" customWidth="1"/>
    <col min="10" max="10" width="4.6640625" style="68" customWidth="1"/>
    <col min="11" max="11" width="10.77734375" style="251" customWidth="1"/>
    <col min="12" max="12" width="1.77734375" style="68" customWidth="1"/>
    <col min="13" max="13" width="10.77734375" style="68" customWidth="1"/>
    <col min="14" max="14" width="1.109375" style="68" customWidth="1"/>
    <col min="15" max="15" width="2" style="68" customWidth="1"/>
    <col min="16" max="16" width="16.109375" style="68" customWidth="1"/>
    <col min="17" max="18" width="9.5546875" style="68" bestFit="1" customWidth="1"/>
    <col min="19" max="16384" width="9.21875" style="68"/>
  </cols>
  <sheetData>
    <row r="2" spans="2:16">
      <c r="N2" s="1"/>
    </row>
    <row r="3" spans="2:16" ht="16.5">
      <c r="B3" s="462" t="s">
        <v>4</v>
      </c>
      <c r="C3" s="462"/>
      <c r="D3" s="462"/>
      <c r="E3" s="462"/>
      <c r="F3" s="462"/>
      <c r="G3" s="462"/>
      <c r="H3" s="462"/>
      <c r="I3" s="462"/>
      <c r="J3" s="462"/>
      <c r="K3" s="462"/>
      <c r="L3" s="462"/>
      <c r="M3" s="462"/>
      <c r="N3" s="462"/>
    </row>
    <row r="4" spans="2:16" ht="16.5">
      <c r="B4" s="462" t="s">
        <v>397</v>
      </c>
      <c r="C4" s="462"/>
      <c r="D4" s="462"/>
      <c r="E4" s="462"/>
      <c r="F4" s="462"/>
      <c r="G4" s="462"/>
      <c r="H4" s="462"/>
      <c r="I4" s="462"/>
      <c r="J4" s="462"/>
      <c r="K4" s="462"/>
      <c r="L4" s="462"/>
      <c r="M4" s="462"/>
      <c r="N4" s="462"/>
    </row>
    <row r="7" spans="2:16" ht="16.5">
      <c r="C7" s="241" t="s">
        <v>52</v>
      </c>
      <c r="D7" s="311" t="s">
        <v>398</v>
      </c>
      <c r="F7" s="311" t="s">
        <v>208</v>
      </c>
      <c r="J7" s="241" t="s">
        <v>52</v>
      </c>
      <c r="K7" s="311" t="str">
        <f>D7</f>
        <v>2015</v>
      </c>
      <c r="M7" s="242" t="str">
        <f>F7</f>
        <v>2014</v>
      </c>
    </row>
    <row r="8" spans="2:16" ht="16.5">
      <c r="B8" s="241"/>
      <c r="D8" s="312" t="s">
        <v>0</v>
      </c>
      <c r="F8" s="240" t="s">
        <v>0</v>
      </c>
      <c r="G8" s="240"/>
      <c r="I8" s="241"/>
      <c r="J8" s="241"/>
      <c r="K8" s="312" t="s">
        <v>0</v>
      </c>
      <c r="M8" s="240" t="s">
        <v>0</v>
      </c>
    </row>
    <row r="9" spans="2:16" ht="16.5">
      <c r="B9" s="241"/>
      <c r="D9" s="312"/>
      <c r="F9" s="240"/>
      <c r="G9" s="240"/>
      <c r="I9" s="241"/>
      <c r="J9" s="241"/>
      <c r="K9" s="312"/>
      <c r="M9" s="240"/>
    </row>
    <row r="10" spans="2:16" ht="16.5">
      <c r="B10" s="243" t="s">
        <v>81</v>
      </c>
      <c r="C10" s="244"/>
      <c r="E10" s="244"/>
      <c r="I10" s="243" t="s">
        <v>48</v>
      </c>
      <c r="J10" s="241"/>
      <c r="K10" s="312"/>
      <c r="M10" s="240"/>
    </row>
    <row r="11" spans="2:16" ht="16.5">
      <c r="B11" s="244"/>
      <c r="C11" s="244"/>
      <c r="E11" s="244"/>
      <c r="I11" s="244"/>
      <c r="J11" s="241"/>
    </row>
    <row r="12" spans="2:16" ht="17.25" thickBot="1">
      <c r="B12" s="245" t="s">
        <v>3</v>
      </c>
      <c r="C12" s="246">
        <f>+'Notes (2)'!B211</f>
        <v>9</v>
      </c>
      <c r="D12" s="247">
        <v>10000000</v>
      </c>
      <c r="E12" s="244"/>
      <c r="F12" s="247">
        <v>10000000</v>
      </c>
      <c r="G12" s="241"/>
      <c r="I12" s="68" t="s">
        <v>49</v>
      </c>
      <c r="J12" s="246">
        <v>3</v>
      </c>
      <c r="K12" s="248">
        <f>'Fixed Assets'!K23</f>
        <v>126569.08699999998</v>
      </c>
      <c r="L12" s="249"/>
      <c r="M12" s="250">
        <v>146038</v>
      </c>
      <c r="N12" s="251"/>
      <c r="P12" s="251">
        <f>K12-M12</f>
        <v>-19468.913000000015</v>
      </c>
    </row>
    <row r="13" spans="2:16" ht="17.25" thickTop="1">
      <c r="B13" s="252"/>
      <c r="E13" s="244"/>
      <c r="F13" s="253"/>
      <c r="G13" s="254"/>
      <c r="I13" s="255" t="s">
        <v>119</v>
      </c>
      <c r="J13" s="246">
        <f>+'Notes (2)'!B149</f>
        <v>4</v>
      </c>
      <c r="K13" s="250">
        <f>'Notes (2)'!I154</f>
        <v>1241955</v>
      </c>
      <c r="L13" s="256"/>
      <c r="M13" s="250">
        <f>'Notes (2)'!K154</f>
        <v>1241955</v>
      </c>
      <c r="N13" s="251"/>
    </row>
    <row r="14" spans="2:16" ht="16.5">
      <c r="B14" s="245" t="s">
        <v>205</v>
      </c>
      <c r="D14" s="251">
        <f>'Trial 15 (2)'!M8</f>
        <v>10000000</v>
      </c>
      <c r="E14" s="244"/>
      <c r="F14" s="251">
        <f>'Notes (2)'!K217</f>
        <v>10000000</v>
      </c>
      <c r="I14" s="68" t="s">
        <v>145</v>
      </c>
      <c r="J14" s="246">
        <f>+'Notes (2)'!B163</f>
        <v>5</v>
      </c>
      <c r="K14" s="251">
        <f>'Notes (2)'!I167</f>
        <v>1758045</v>
      </c>
      <c r="L14" s="257"/>
      <c r="M14" s="251">
        <f>+'Notes (2)'!K167</f>
        <v>1758045</v>
      </c>
      <c r="N14" s="251"/>
    </row>
    <row r="15" spans="2:16" ht="16.5">
      <c r="B15" s="244"/>
      <c r="C15" s="241"/>
      <c r="E15" s="244"/>
      <c r="F15" s="251"/>
      <c r="G15" s="254"/>
      <c r="I15" s="258" t="s">
        <v>50</v>
      </c>
      <c r="J15" s="259"/>
      <c r="K15" s="248">
        <f>'Trial 15 (2)'!L17+'Trial 15 (2)'!L18</f>
        <v>400000</v>
      </c>
      <c r="L15" s="256"/>
      <c r="M15" s="250">
        <v>400000</v>
      </c>
    </row>
    <row r="16" spans="2:16" ht="16.5">
      <c r="B16" s="180" t="s">
        <v>515</v>
      </c>
      <c r="C16" s="241"/>
      <c r="D16" s="13">
        <f>+SOCE!D25</f>
        <v>3473103.7249970282</v>
      </c>
      <c r="E16" s="180"/>
      <c r="F16" s="13">
        <f>SOCE!D20</f>
        <v>1970879</v>
      </c>
      <c r="J16" s="246"/>
      <c r="K16" s="261"/>
      <c r="L16" s="256"/>
      <c r="M16" s="261"/>
    </row>
    <row r="17" spans="2:16" ht="16.5">
      <c r="B17" s="249"/>
      <c r="C17" s="262"/>
      <c r="D17" s="261"/>
      <c r="E17" s="249"/>
      <c r="F17" s="260"/>
      <c r="J17" s="246"/>
      <c r="K17" s="13">
        <f>SUM(K12:K15)</f>
        <v>3526569.0870000003</v>
      </c>
      <c r="L17" s="241"/>
      <c r="M17" s="13">
        <f>SUM(M12:M15)</f>
        <v>3546038</v>
      </c>
      <c r="N17" s="249"/>
      <c r="P17" s="263"/>
    </row>
    <row r="18" spans="2:16" ht="16.5">
      <c r="B18" s="249"/>
      <c r="C18" s="262"/>
      <c r="D18" s="13">
        <f>SUM(D14:D16)</f>
        <v>13473103.724997029</v>
      </c>
      <c r="E18" s="249"/>
      <c r="F18" s="13">
        <f>SUM(F14:F16)</f>
        <v>11970879</v>
      </c>
      <c r="J18" s="246"/>
      <c r="K18" s="13"/>
      <c r="M18" s="13"/>
      <c r="N18" s="249"/>
    </row>
    <row r="19" spans="2:16" ht="16.5">
      <c r="B19" s="249"/>
      <c r="C19" s="262"/>
      <c r="D19" s="13"/>
      <c r="E19" s="249"/>
      <c r="F19" s="13"/>
      <c r="J19" s="246"/>
      <c r="M19" s="251"/>
    </row>
    <row r="20" spans="2:16" ht="16.5">
      <c r="B20" s="262" t="s">
        <v>189</v>
      </c>
      <c r="C20" s="262"/>
      <c r="D20" s="13"/>
      <c r="E20" s="249"/>
      <c r="F20" s="13"/>
      <c r="J20" s="246"/>
      <c r="M20" s="251"/>
    </row>
    <row r="21" spans="2:16" ht="16.5">
      <c r="B21" s="249"/>
      <c r="C21" s="262"/>
      <c r="D21" s="13"/>
      <c r="E21" s="249"/>
      <c r="F21" s="13"/>
      <c r="J21" s="246"/>
      <c r="M21" s="251"/>
    </row>
    <row r="22" spans="2:16" ht="16.5">
      <c r="B22" s="249" t="s">
        <v>190</v>
      </c>
      <c r="C22" s="259">
        <f>+'Notes (2)'!B219</f>
        <v>10</v>
      </c>
      <c r="D22" s="13">
        <f>'Notes (2)'!I227</f>
        <v>8246.2604399999982</v>
      </c>
      <c r="E22" s="249"/>
      <c r="F22" s="13">
        <f>+'Notes (2)'!K227</f>
        <v>8353.1150999999954</v>
      </c>
      <c r="J22" s="246"/>
      <c r="M22" s="251"/>
    </row>
    <row r="23" spans="2:16" ht="16.5">
      <c r="B23" s="180"/>
      <c r="C23" s="264"/>
      <c r="D23" s="13"/>
      <c r="E23" s="180"/>
      <c r="F23" s="13"/>
      <c r="G23" s="265"/>
      <c r="J23" s="246"/>
      <c r="M23" s="251"/>
    </row>
    <row r="24" spans="2:16" ht="16.5">
      <c r="B24" s="180"/>
      <c r="C24" s="264"/>
      <c r="D24" s="13"/>
      <c r="E24" s="180"/>
      <c r="F24" s="13"/>
      <c r="G24" s="265"/>
      <c r="J24" s="246"/>
      <c r="M24" s="251"/>
    </row>
    <row r="25" spans="2:16" ht="16.5">
      <c r="B25" s="243" t="s">
        <v>1</v>
      </c>
      <c r="C25" s="243"/>
      <c r="E25" s="244"/>
      <c r="F25" s="251"/>
      <c r="G25" s="265"/>
      <c r="I25" s="243" t="s">
        <v>2</v>
      </c>
      <c r="J25" s="246"/>
      <c r="M25" s="251"/>
      <c r="N25" s="251"/>
    </row>
    <row r="26" spans="2:16" ht="16.5">
      <c r="B26" s="244"/>
      <c r="C26" s="243"/>
      <c r="E26" s="244"/>
      <c r="F26" s="251"/>
      <c r="G26" s="266"/>
      <c r="I26" s="244"/>
      <c r="J26" s="246"/>
      <c r="M26" s="251"/>
      <c r="N26" s="251"/>
    </row>
    <row r="27" spans="2:16" ht="16.5">
      <c r="B27" s="244" t="s">
        <v>46</v>
      </c>
      <c r="C27" s="246">
        <f>+'Notes (2)'!B232</f>
        <v>11</v>
      </c>
      <c r="D27" s="88">
        <f>'Notes (2)'!I237</f>
        <v>17385006.680000003</v>
      </c>
      <c r="E27" s="244"/>
      <c r="F27" s="88">
        <f>'Notes (2)'!K237</f>
        <v>29662966.780000001</v>
      </c>
      <c r="G27" s="265"/>
      <c r="I27" s="244" t="s">
        <v>51</v>
      </c>
      <c r="J27" s="267">
        <f>+'Notes (2)'!B186</f>
        <v>6</v>
      </c>
      <c r="K27" s="88">
        <f>SUM('Trial 15 (2)'!L21:L77)</f>
        <v>22032070.240000002</v>
      </c>
      <c r="L27" s="180"/>
      <c r="M27" s="325">
        <v>11323762</v>
      </c>
      <c r="P27" s="68">
        <v>25000</v>
      </c>
    </row>
    <row r="28" spans="2:16" ht="16.5">
      <c r="B28" s="244" t="s">
        <v>143</v>
      </c>
      <c r="C28" s="241"/>
      <c r="D28" s="134">
        <f>'Trial 15 (2)'!M22</f>
        <v>28261699.25</v>
      </c>
      <c r="E28" s="244"/>
      <c r="F28" s="326">
        <v>28405913.25</v>
      </c>
      <c r="G28" s="265"/>
      <c r="I28" s="68" t="s">
        <v>355</v>
      </c>
      <c r="J28" s="267">
        <f>'Notes (2)'!B192</f>
        <v>7</v>
      </c>
      <c r="K28" s="134">
        <f>'Trial 15 (2)'!M28</f>
        <v>0</v>
      </c>
      <c r="M28" s="134">
        <f>+'Notes (2)'!K200</f>
        <v>10649040.209999999</v>
      </c>
      <c r="N28" s="251"/>
      <c r="P28" s="68">
        <v>8440</v>
      </c>
    </row>
    <row r="29" spans="2:16" ht="16.5">
      <c r="B29" s="244"/>
      <c r="C29" s="241"/>
      <c r="D29" s="134"/>
      <c r="E29" s="244"/>
      <c r="F29" s="326"/>
      <c r="G29" s="265"/>
      <c r="I29" s="68" t="s">
        <v>492</v>
      </c>
      <c r="J29" s="267"/>
      <c r="K29" s="134">
        <f>'Trial 15 (2)'!L94+'Trial 15 (2)'!L111+'Trial 15 (2)'!L112</f>
        <v>0</v>
      </c>
      <c r="M29" s="134"/>
      <c r="N29" s="251"/>
    </row>
    <row r="30" spans="2:16" ht="16.5">
      <c r="B30" s="244" t="s">
        <v>57</v>
      </c>
      <c r="C30" s="243"/>
      <c r="D30" s="268">
        <f>'Trial 15 (2)'!M79</f>
        <v>252268.79666297132</v>
      </c>
      <c r="E30" s="244"/>
      <c r="F30" s="268">
        <v>130468.55982076039</v>
      </c>
      <c r="G30" s="265"/>
      <c r="I30" s="68" t="s">
        <v>114</v>
      </c>
      <c r="J30" s="246">
        <f>+'Notes (2)'!B202</f>
        <v>8</v>
      </c>
      <c r="K30" s="268">
        <f>'Notes (2)'!I209</f>
        <v>33821684.68</v>
      </c>
      <c r="L30" s="249"/>
      <c r="M30" s="268">
        <f>'Notes (2)'!K209</f>
        <v>44659740.670000002</v>
      </c>
      <c r="N30" s="251"/>
    </row>
    <row r="31" spans="2:16" ht="16.5">
      <c r="B31" s="244"/>
      <c r="C31" s="243"/>
      <c r="D31" s="13"/>
      <c r="E31" s="251"/>
      <c r="F31" s="13"/>
      <c r="G31" s="265"/>
      <c r="K31" s="68"/>
      <c r="N31" s="251"/>
      <c r="P31" s="68">
        <v>14179</v>
      </c>
    </row>
    <row r="32" spans="2:16" ht="16.5">
      <c r="B32" s="244"/>
      <c r="C32" s="243"/>
      <c r="D32" s="13"/>
      <c r="F32" s="13"/>
      <c r="G32" s="265"/>
      <c r="K32" s="13"/>
      <c r="L32" s="249"/>
      <c r="M32" s="305">
        <v>0</v>
      </c>
      <c r="N32" s="251"/>
    </row>
    <row r="33" spans="2:14" ht="16.5">
      <c r="B33" s="244"/>
      <c r="C33" s="243"/>
      <c r="D33" s="13">
        <f>SUM(D27:D31)</f>
        <v>45898974.726662979</v>
      </c>
      <c r="E33" s="244"/>
      <c r="F33" s="13">
        <f>SUM(F27:F31)</f>
        <v>58199348.589820765</v>
      </c>
      <c r="G33" s="266"/>
      <c r="K33" s="13">
        <f>SUM(K27:K32)</f>
        <v>55853754.920000002</v>
      </c>
      <c r="L33" s="249"/>
      <c r="M33" s="13">
        <f>SUM(M26:M32)</f>
        <v>66632542.880000003</v>
      </c>
      <c r="N33" s="251"/>
    </row>
    <row r="34" spans="2:14" ht="16.5">
      <c r="B34" s="244"/>
      <c r="C34" s="244"/>
      <c r="D34" s="13"/>
      <c r="E34" s="244"/>
      <c r="F34" s="13"/>
      <c r="G34" s="266"/>
      <c r="I34" s="244"/>
      <c r="J34" s="241"/>
      <c r="M34" s="251"/>
      <c r="N34" s="251"/>
    </row>
    <row r="35" spans="2:14" ht="16.5">
      <c r="B35" s="243" t="s">
        <v>204</v>
      </c>
      <c r="C35" s="246">
        <f>'Notes (2)'!B239</f>
        <v>12</v>
      </c>
      <c r="D35" s="13">
        <v>0</v>
      </c>
      <c r="E35" s="244"/>
      <c r="F35" s="13">
        <v>0</v>
      </c>
      <c r="G35" s="266"/>
      <c r="I35" s="244"/>
      <c r="J35" s="241"/>
      <c r="N35" s="251"/>
    </row>
    <row r="36" spans="2:14">
      <c r="C36" s="249"/>
      <c r="E36" s="249"/>
      <c r="F36" s="251"/>
      <c r="G36" s="266"/>
      <c r="M36" s="251"/>
      <c r="N36" s="251"/>
    </row>
    <row r="37" spans="2:14">
      <c r="C37" s="249"/>
      <c r="D37" s="269"/>
      <c r="E37" s="249"/>
      <c r="F37" s="269"/>
      <c r="G37" s="266"/>
      <c r="K37" s="261"/>
      <c r="M37" s="261"/>
      <c r="N37" s="251"/>
    </row>
    <row r="38" spans="2:14" ht="16.5" thickBot="1">
      <c r="D38" s="251">
        <f>D33+D18+D22</f>
        <v>59380324.712100007</v>
      </c>
      <c r="F38" s="251">
        <f>F18+F33+F22</f>
        <v>70178580.704920769</v>
      </c>
      <c r="K38" s="247">
        <f>K33+K17</f>
        <v>59380324.006999999</v>
      </c>
      <c r="M38" s="247">
        <f>M33+M17</f>
        <v>70178580.879999995</v>
      </c>
      <c r="N38" s="251"/>
    </row>
    <row r="39" spans="2:14" ht="16.5" thickTop="1">
      <c r="D39" s="270"/>
      <c r="F39" s="270"/>
      <c r="M39" s="251"/>
      <c r="N39" s="251"/>
    </row>
    <row r="40" spans="2:14">
      <c r="B40" s="7"/>
      <c r="M40" s="13"/>
      <c r="N40" s="249"/>
    </row>
    <row r="41" spans="2:14" ht="16.5">
      <c r="B41" s="11" t="s">
        <v>39</v>
      </c>
      <c r="M41" s="13"/>
      <c r="N41" s="249"/>
    </row>
    <row r="42" spans="2:14">
      <c r="B42" s="7"/>
      <c r="M42" s="13"/>
      <c r="N42" s="249"/>
    </row>
    <row r="43" spans="2:14">
      <c r="L43" s="13"/>
      <c r="M43" s="249"/>
    </row>
    <row r="44" spans="2:14" ht="16.5">
      <c r="L44" s="241"/>
    </row>
    <row r="45" spans="2:14" ht="16.5">
      <c r="M45" s="241"/>
    </row>
    <row r="46" spans="2:14" ht="16.5">
      <c r="B46" s="241" t="s">
        <v>6</v>
      </c>
      <c r="C46" s="241"/>
      <c r="D46" s="313"/>
      <c r="E46" s="241"/>
      <c r="F46" s="241"/>
      <c r="G46" s="241"/>
      <c r="H46" s="241"/>
      <c r="I46" s="241"/>
      <c r="J46" s="241"/>
      <c r="K46" s="313"/>
      <c r="L46" s="241"/>
      <c r="M46" s="241" t="s">
        <v>7</v>
      </c>
    </row>
    <row r="47" spans="2:14" ht="16.5">
      <c r="B47" s="8"/>
      <c r="C47" s="9"/>
      <c r="D47" s="314"/>
      <c r="E47" s="9"/>
      <c r="F47" s="9"/>
      <c r="N47" s="241"/>
    </row>
    <row r="48" spans="2:14">
      <c r="D48" s="251">
        <f>D38-K38</f>
        <v>0.70510000735521317</v>
      </c>
    </row>
    <row r="49" spans="6:9">
      <c r="F49" s="257">
        <f>+F38-M38</f>
        <v>-0.17507922649383545</v>
      </c>
      <c r="I49" s="68">
        <f>D38-K38</f>
        <v>0.70510000735521317</v>
      </c>
    </row>
    <row r="52" spans="6:9">
      <c r="H52" s="257"/>
    </row>
  </sheetData>
  <mergeCells count="2">
    <mergeCell ref="B3:N3"/>
    <mergeCell ref="B4:N4"/>
  </mergeCells>
  <phoneticPr fontId="0" type="noConversion"/>
  <pageMargins left="0.56000000000000005" right="0.16" top="0.38" bottom="0.37" header="0.3" footer="0.3"/>
  <pageSetup scale="76" orientation="landscape"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rgb="FF92D050"/>
    <pageSetUpPr fitToPage="1"/>
  </sheetPr>
  <dimension ref="B1:N134"/>
  <sheetViews>
    <sheetView defaultGridColor="0" view="pageBreakPreview" topLeftCell="A7" colorId="22" zoomScaleNormal="100" zoomScaleSheetLayoutView="100" workbookViewId="0">
      <selection activeCell="D33" sqref="D33"/>
    </sheetView>
  </sheetViews>
  <sheetFormatPr defaultColWidth="9.77734375" defaultRowHeight="15.75" customHeight="1"/>
  <cols>
    <col min="1" max="1" width="5.77734375" style="271" customWidth="1"/>
    <col min="2" max="2" width="4.77734375" style="271" customWidth="1"/>
    <col min="3" max="3" width="42.33203125" style="271" customWidth="1"/>
    <col min="4" max="4" width="4.6640625" style="271" bestFit="1" customWidth="1"/>
    <col min="5" max="5" width="1.44140625" style="271" customWidth="1"/>
    <col min="6" max="6" width="11.21875" style="271" bestFit="1" customWidth="1"/>
    <col min="7" max="7" width="1.109375" style="271" customWidth="1"/>
    <col min="8" max="8" width="11.21875" style="271" bestFit="1" customWidth="1"/>
    <col min="9" max="9" width="1.33203125" style="271" customWidth="1"/>
    <col min="10" max="10" width="11.33203125" style="271" bestFit="1" customWidth="1"/>
    <col min="11" max="11" width="12.88671875" style="271" bestFit="1" customWidth="1"/>
    <col min="12" max="16384" width="9.77734375" style="271"/>
  </cols>
  <sheetData>
    <row r="1" spans="2:14" ht="15.75" customHeight="1">
      <c r="I1" s="272"/>
    </row>
    <row r="2" spans="2:14" ht="15.75" customHeight="1">
      <c r="B2" s="273" t="s">
        <v>4</v>
      </c>
      <c r="F2" s="274"/>
      <c r="H2" s="274"/>
    </row>
    <row r="3" spans="2:14" ht="15.75" customHeight="1">
      <c r="B3" s="273" t="s">
        <v>44</v>
      </c>
      <c r="F3" s="274"/>
      <c r="H3" s="274"/>
    </row>
    <row r="4" spans="2:14" ht="15.75" customHeight="1">
      <c r="B4" s="273" t="s">
        <v>399</v>
      </c>
      <c r="F4" s="274"/>
      <c r="H4" s="274"/>
    </row>
    <row r="5" spans="2:14" ht="15.75" customHeight="1">
      <c r="F5" s="275"/>
      <c r="H5" s="275"/>
    </row>
    <row r="6" spans="2:14" ht="15.75" customHeight="1">
      <c r="F6" s="143" t="s">
        <v>398</v>
      </c>
      <c r="G6" s="276"/>
      <c r="H6" s="143" t="s">
        <v>208</v>
      </c>
    </row>
    <row r="7" spans="2:14" ht="15.75" customHeight="1">
      <c r="D7" s="277" t="s">
        <v>52</v>
      </c>
      <c r="F7" s="278" t="s">
        <v>0</v>
      </c>
      <c r="G7" s="279"/>
      <c r="H7" s="278" t="s">
        <v>0</v>
      </c>
    </row>
    <row r="8" spans="2:14" ht="15.75" customHeight="1">
      <c r="F8" s="274"/>
      <c r="G8" s="280"/>
      <c r="H8" s="274"/>
    </row>
    <row r="9" spans="2:14" ht="15.75" customHeight="1">
      <c r="B9" s="271" t="s">
        <v>53</v>
      </c>
      <c r="D9" s="277">
        <f>+'Notes (2)'!B246</f>
        <v>13</v>
      </c>
      <c r="F9" s="281">
        <f>'Notes (2)'!I248</f>
        <v>1915546.83</v>
      </c>
      <c r="G9" s="282"/>
      <c r="H9" s="281">
        <f>'Notes (2)'!K248</f>
        <v>1682258.95</v>
      </c>
      <c r="J9" s="271">
        <f>1974951-12425</f>
        <v>1962526</v>
      </c>
      <c r="K9" s="271">
        <f>+F9-J9</f>
        <v>-46979.169999999925</v>
      </c>
      <c r="N9" s="271">
        <v>854175</v>
      </c>
    </row>
    <row r="10" spans="2:14" ht="15.75" customHeight="1">
      <c r="B10" s="157" t="s">
        <v>354</v>
      </c>
      <c r="D10" s="277"/>
      <c r="F10" s="283">
        <f>'Trial 15 (2)'!M88</f>
        <v>1632231.59</v>
      </c>
      <c r="G10" s="284"/>
      <c r="H10" s="283">
        <v>592432</v>
      </c>
      <c r="J10" s="271">
        <v>1974951</v>
      </c>
    </row>
    <row r="11" spans="2:14" ht="15.75" customHeight="1">
      <c r="B11" s="273"/>
      <c r="D11" s="277"/>
      <c r="F11" s="327">
        <f>F9+F10</f>
        <v>3547778.42</v>
      </c>
      <c r="G11" s="284"/>
      <c r="H11" s="285">
        <f>H9+H10</f>
        <v>2274690.9500000002</v>
      </c>
      <c r="J11" s="271">
        <f>+J10-F9</f>
        <v>59404.169999999925</v>
      </c>
    </row>
    <row r="12" spans="2:14" ht="15.75" customHeight="1">
      <c r="B12" s="273"/>
      <c r="D12" s="277"/>
      <c r="F12" s="286"/>
      <c r="H12" s="286"/>
    </row>
    <row r="13" spans="2:14" ht="15.75" customHeight="1">
      <c r="B13" s="273"/>
      <c r="D13" s="277"/>
      <c r="F13" s="286"/>
      <c r="H13" s="286"/>
    </row>
    <row r="14" spans="2:14" ht="15.75" customHeight="1">
      <c r="B14" s="273" t="s">
        <v>54</v>
      </c>
      <c r="D14" s="277">
        <f>+'Notes (2)'!B250</f>
        <v>14</v>
      </c>
      <c r="F14" s="286">
        <f>'Notes (2)'!I264</f>
        <v>4329334.3430000003</v>
      </c>
      <c r="H14" s="286">
        <f>'Notes (2)'!K264</f>
        <v>3790473.47</v>
      </c>
    </row>
    <row r="15" spans="2:14" ht="15.75" customHeight="1">
      <c r="B15" s="273"/>
      <c r="D15" s="277"/>
      <c r="F15" s="287"/>
      <c r="H15" s="287"/>
    </row>
    <row r="16" spans="2:14" ht="15.75" customHeight="1">
      <c r="B16" s="273" t="s">
        <v>516</v>
      </c>
      <c r="D16" s="277"/>
      <c r="F16" s="285">
        <f>+F11-F14</f>
        <v>-781555.92300000042</v>
      </c>
      <c r="H16" s="285">
        <f>+H11-H14+0.2</f>
        <v>-1515782.32</v>
      </c>
      <c r="N16" s="271">
        <v>-464795</v>
      </c>
    </row>
    <row r="17" spans="2:14" ht="15.75" customHeight="1">
      <c r="B17" s="273"/>
      <c r="D17" s="277"/>
      <c r="F17" s="286"/>
      <c r="H17" s="286"/>
    </row>
    <row r="18" spans="2:14" ht="15.75" customHeight="1">
      <c r="B18" s="273" t="s">
        <v>374</v>
      </c>
      <c r="D18" s="277">
        <f>'Notes (2)'!B266</f>
        <v>15</v>
      </c>
      <c r="F18" s="286">
        <f>'Notes (2)'!I273</f>
        <v>3132379.62</v>
      </c>
      <c r="H18" s="285">
        <f>+'Notes (2)'!K273</f>
        <v>4083018.7399999993</v>
      </c>
    </row>
    <row r="19" spans="2:14" ht="15.75" customHeight="1">
      <c r="B19" s="288"/>
      <c r="D19" s="277"/>
      <c r="F19" s="286"/>
      <c r="H19" s="286"/>
      <c r="K19" s="271">
        <v>1240648</v>
      </c>
      <c r="N19" s="271" t="e">
        <f>SUM(#REF!)</f>
        <v>#REF!</v>
      </c>
    </row>
    <row r="20" spans="2:14" ht="15.75" customHeight="1">
      <c r="D20" s="277"/>
      <c r="F20" s="286"/>
      <c r="H20" s="286"/>
    </row>
    <row r="21" spans="2:14" ht="15.75" customHeight="1">
      <c r="B21" s="271" t="s">
        <v>55</v>
      </c>
      <c r="D21" s="277">
        <f>+'Notes (2)'!B275</f>
        <v>16</v>
      </c>
      <c r="F21" s="286">
        <f>'Trial 15 (2)'!L114</f>
        <v>5228.3500000000004</v>
      </c>
      <c r="H21" s="286">
        <f>'Notes (2)'!K279</f>
        <v>4876</v>
      </c>
      <c r="K21" s="271">
        <v>151676</v>
      </c>
      <c r="N21" s="271">
        <v>151676</v>
      </c>
    </row>
    <row r="22" spans="2:14" ht="15.75" customHeight="1">
      <c r="D22" s="277"/>
      <c r="F22" s="287"/>
      <c r="H22" s="287"/>
      <c r="K22" s="271">
        <f>K19+N16-K21</f>
        <v>624177</v>
      </c>
    </row>
    <row r="23" spans="2:14" ht="15.75" customHeight="1">
      <c r="D23" s="277"/>
      <c r="F23" s="286"/>
      <c r="H23" s="286"/>
    </row>
    <row r="24" spans="2:14" ht="15.75" customHeight="1">
      <c r="B24" s="273" t="s">
        <v>56</v>
      </c>
      <c r="D24" s="277"/>
      <c r="F24" s="286">
        <f>+F16-F21+F18</f>
        <v>2345595.3469999996</v>
      </c>
      <c r="H24" s="286">
        <f>+H16-H21+H18</f>
        <v>2562360.419999999</v>
      </c>
      <c r="J24" s="271">
        <f>9-6-5</f>
        <v>-2</v>
      </c>
      <c r="N24" s="271" t="e">
        <f>N16+N19-N21</f>
        <v>#REF!</v>
      </c>
    </row>
    <row r="25" spans="2:14" ht="15.75" customHeight="1">
      <c r="B25" s="271" t="s">
        <v>57</v>
      </c>
      <c r="D25" s="277"/>
      <c r="F25" s="286"/>
      <c r="H25" s="286"/>
    </row>
    <row r="26" spans="2:14" ht="15.75" customHeight="1">
      <c r="C26" s="271" t="s">
        <v>58</v>
      </c>
      <c r="D26" s="277">
        <f>'Notes (2)'!B282</f>
        <v>17</v>
      </c>
      <c r="F26" s="289">
        <f>'Notes (2)'!I289</f>
        <v>843477.47666297131</v>
      </c>
      <c r="G26" s="284"/>
      <c r="H26" s="289">
        <f>+'Notes (2)'!K289</f>
        <v>483950.05982076039</v>
      </c>
      <c r="N26" s="271">
        <v>14810</v>
      </c>
    </row>
    <row r="27" spans="2:14" ht="15.75" customHeight="1">
      <c r="C27" s="271" t="s">
        <v>59</v>
      </c>
      <c r="D27" s="277">
        <f>'Notes (2)'!B219</f>
        <v>10</v>
      </c>
      <c r="F27" s="283">
        <f>'Notes (2)'!I225</f>
        <v>-106.85465999999724</v>
      </c>
      <c r="G27" s="284"/>
      <c r="H27" s="283">
        <f>+'Notes (2)'!K225</f>
        <v>8353.1150999999954</v>
      </c>
    </row>
    <row r="28" spans="2:14" ht="15.75" customHeight="1">
      <c r="D28" s="279"/>
      <c r="F28" s="285"/>
      <c r="H28" s="286"/>
    </row>
    <row r="29" spans="2:14" ht="15.75" customHeight="1">
      <c r="D29" s="279"/>
      <c r="F29" s="285">
        <f>SUM(F26:F27)</f>
        <v>843370.62200297136</v>
      </c>
      <c r="H29" s="285">
        <f>SUM(H26:H27)</f>
        <v>492303.17492076039</v>
      </c>
    </row>
    <row r="30" spans="2:14" ht="15.75" customHeight="1">
      <c r="B30" s="273"/>
      <c r="D30" s="279"/>
      <c r="F30" s="287"/>
      <c r="H30" s="287"/>
    </row>
    <row r="31" spans="2:14" ht="15.75" customHeight="1" thickBot="1">
      <c r="B31" s="273" t="s">
        <v>395</v>
      </c>
      <c r="D31" s="279"/>
      <c r="F31" s="286">
        <f>+F24-F29</f>
        <v>1502224.7249970282</v>
      </c>
      <c r="H31" s="286">
        <f>+H24-H29</f>
        <v>2070057.2450792387</v>
      </c>
      <c r="J31" s="271">
        <f>+F31*0.35</f>
        <v>525778.65374895988</v>
      </c>
      <c r="N31" s="271" t="e">
        <f>N24-N26</f>
        <v>#REF!</v>
      </c>
    </row>
    <row r="32" spans="2:14" ht="15.75" customHeight="1" thickTop="1">
      <c r="B32" s="273"/>
      <c r="D32" s="279"/>
      <c r="F32" s="290"/>
      <c r="H32" s="290"/>
      <c r="J32" s="271">
        <f>+J31-8712</f>
        <v>517066.65374895988</v>
      </c>
    </row>
    <row r="33" spans="2:11" ht="15.75" customHeight="1" thickBot="1">
      <c r="B33" s="273" t="s">
        <v>380</v>
      </c>
      <c r="D33" s="277">
        <f>+'Notes (2)'!B293</f>
        <v>18</v>
      </c>
      <c r="F33" s="291">
        <f>+'Notes (2)'!I300</f>
        <v>1.5022247249970282</v>
      </c>
      <c r="G33" s="282"/>
      <c r="H33" s="291">
        <f>+'Notes (2)'!K300</f>
        <v>2.0700572450792385</v>
      </c>
    </row>
    <row r="34" spans="2:11" ht="15.75" customHeight="1" thickTop="1">
      <c r="D34" s="279"/>
      <c r="F34" s="286"/>
      <c r="G34" s="282"/>
      <c r="H34" s="286"/>
    </row>
    <row r="35" spans="2:11" ht="15.75" customHeight="1">
      <c r="B35" s="271" t="s">
        <v>60</v>
      </c>
      <c r="D35" s="279"/>
      <c r="F35" s="274"/>
      <c r="H35" s="274"/>
    </row>
    <row r="36" spans="2:11" ht="15.75" customHeight="1">
      <c r="B36" s="292"/>
      <c r="D36" s="279"/>
      <c r="F36" s="274"/>
      <c r="H36" s="274"/>
    </row>
    <row r="37" spans="2:11" ht="15.75" customHeight="1">
      <c r="B37" s="292"/>
      <c r="D37" s="279"/>
      <c r="F37" s="274"/>
      <c r="H37" s="274"/>
    </row>
    <row r="38" spans="2:11" ht="15.75" customHeight="1">
      <c r="B38" s="292"/>
      <c r="D38" s="279"/>
      <c r="F38" s="274"/>
      <c r="H38" s="274"/>
    </row>
    <row r="39" spans="2:11" ht="15.75" customHeight="1">
      <c r="B39" s="292"/>
      <c r="D39" s="279"/>
      <c r="F39" s="274"/>
      <c r="H39" s="274"/>
    </row>
    <row r="40" spans="2:11" ht="15.75" customHeight="1">
      <c r="D40" s="279"/>
      <c r="F40" s="274"/>
      <c r="H40" s="274"/>
    </row>
    <row r="41" spans="2:11" ht="15.75" customHeight="1">
      <c r="D41" s="279"/>
      <c r="F41" s="274"/>
      <c r="H41" s="274"/>
    </row>
    <row r="42" spans="2:11" ht="15.75" customHeight="1">
      <c r="B42" s="273" t="s">
        <v>6</v>
      </c>
      <c r="D42" s="279"/>
      <c r="F42" s="274"/>
      <c r="H42" s="293" t="s">
        <v>7</v>
      </c>
    </row>
    <row r="43" spans="2:11" ht="15.75" customHeight="1">
      <c r="D43" s="279"/>
      <c r="F43" s="274"/>
      <c r="H43" s="274"/>
    </row>
    <row r="44" spans="2:11" s="284" customFormat="1" ht="15.75" customHeight="1">
      <c r="C44" s="294"/>
      <c r="D44" s="295"/>
      <c r="E44" s="295"/>
      <c r="F44" s="295"/>
      <c r="G44" s="295"/>
      <c r="H44" s="295"/>
      <c r="I44" s="295"/>
      <c r="J44" s="295"/>
      <c r="K44" s="295"/>
    </row>
    <row r="45" spans="2:11" s="284" customFormat="1" ht="15.75" customHeight="1">
      <c r="D45" s="295"/>
      <c r="E45" s="295"/>
      <c r="F45" s="295"/>
      <c r="G45" s="295"/>
      <c r="H45" s="295"/>
      <c r="I45" s="295"/>
      <c r="J45" s="295"/>
      <c r="K45" s="295"/>
    </row>
    <row r="46" spans="2:11" s="284" customFormat="1" ht="15.75" customHeight="1">
      <c r="C46" s="294"/>
      <c r="D46" s="295"/>
      <c r="E46" s="295"/>
      <c r="F46" s="295"/>
      <c r="G46" s="295"/>
      <c r="H46" s="295"/>
      <c r="I46" s="295"/>
      <c r="J46" s="295"/>
      <c r="K46" s="295"/>
    </row>
    <row r="61" spans="3:3" ht="15.75" customHeight="1">
      <c r="C61" s="271" t="s">
        <v>61</v>
      </c>
    </row>
    <row r="73" spans="8:10" ht="15.75" customHeight="1">
      <c r="H73" s="271">
        <f>1567417-30000-75625</f>
        <v>1461792</v>
      </c>
    </row>
    <row r="77" spans="8:10" ht="15.75" customHeight="1">
      <c r="H77" s="271" t="e">
        <f>'[4]Fixed Assets'!#REF!</f>
        <v>#REF!</v>
      </c>
      <c r="J77" s="271" t="e">
        <f>'[4]Fixed Assets'!#REF!</f>
        <v>#REF!</v>
      </c>
    </row>
    <row r="111" spans="3:3" ht="15.75" customHeight="1">
      <c r="C111" s="271" t="s">
        <v>62</v>
      </c>
    </row>
    <row r="128" spans="2:3" ht="15.75" customHeight="1">
      <c r="B128" s="296" t="s">
        <v>63</v>
      </c>
      <c r="C128" s="273" t="s">
        <v>64</v>
      </c>
    </row>
    <row r="130" spans="2:10" ht="15.75" customHeight="1">
      <c r="C130" s="271" t="s">
        <v>65</v>
      </c>
    </row>
    <row r="132" spans="2:10" ht="15.75" customHeight="1" thickBot="1">
      <c r="C132" s="271" t="s">
        <v>66</v>
      </c>
      <c r="H132" s="297">
        <v>15144683</v>
      </c>
      <c r="I132" s="282"/>
      <c r="J132" s="298">
        <v>0</v>
      </c>
    </row>
    <row r="133" spans="2:10" ht="15.75" customHeight="1" thickTop="1">
      <c r="I133" s="282"/>
    </row>
    <row r="134" spans="2:10" ht="15.75" customHeight="1">
      <c r="B134" s="299" t="s">
        <v>67</v>
      </c>
    </row>
  </sheetData>
  <printOptions horizontalCentered="1"/>
  <pageMargins left="0.68" right="0.25" top="0.41" bottom="0.3" header="0.34" footer="0.3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2:G24"/>
  <sheetViews>
    <sheetView view="pageBreakPreview" zoomScale="90" zoomScaleNormal="100" zoomScaleSheetLayoutView="90" workbookViewId="0">
      <selection activeCell="H27" sqref="H27"/>
    </sheetView>
  </sheetViews>
  <sheetFormatPr defaultRowHeight="15"/>
  <cols>
    <col min="1" max="1" width="4.6640625" customWidth="1"/>
    <col min="2" max="2" width="42.6640625" customWidth="1"/>
    <col min="3" max="3" width="15.109375" customWidth="1"/>
    <col min="4" max="4" width="9.21875" customWidth="1"/>
    <col min="5" max="5" width="0.77734375" customWidth="1"/>
    <col min="6" max="6" width="8.88671875" customWidth="1"/>
    <col min="7" max="7" width="0.77734375" customWidth="1"/>
  </cols>
  <sheetData>
    <row r="2" spans="2:6" ht="16.5">
      <c r="B2" s="118" t="str">
        <f>+'P &amp; L'!B2</f>
        <v>ARIF LATIF SECURITIES (PVT) LIMITED</v>
      </c>
    </row>
    <row r="3" spans="2:6" ht="16.5">
      <c r="B3" s="119" t="s">
        <v>188</v>
      </c>
    </row>
    <row r="4" spans="2:6" ht="16.5">
      <c r="B4" s="118" t="str">
        <f>+'P &amp; L'!B4</f>
        <v>FOR THE YEAR ENDED JUNE 30, 2015</v>
      </c>
    </row>
    <row r="6" spans="2:6" ht="15.75">
      <c r="D6" s="120">
        <v>2015</v>
      </c>
      <c r="E6" s="121"/>
      <c r="F6" s="120">
        <v>2014</v>
      </c>
    </row>
    <row r="7" spans="2:6" ht="15.75">
      <c r="D7" s="122" t="s">
        <v>0</v>
      </c>
      <c r="E7" s="123"/>
      <c r="F7" s="122" t="s">
        <v>0</v>
      </c>
    </row>
    <row r="8" spans="2:6">
      <c r="D8" s="124"/>
      <c r="E8" s="124"/>
      <c r="F8" s="124"/>
    </row>
    <row r="9" spans="2:6">
      <c r="D9" s="124"/>
      <c r="E9" s="124"/>
      <c r="F9" s="124"/>
    </row>
    <row r="10" spans="2:6" ht="15.75">
      <c r="B10" s="125" t="s">
        <v>43</v>
      </c>
      <c r="D10" s="126">
        <f>+'P &amp; L'!F31</f>
        <v>1502224.7249970282</v>
      </c>
      <c r="E10" s="126"/>
      <c r="F10" s="126">
        <f>+'P &amp; L'!H31</f>
        <v>2070057.2450792387</v>
      </c>
    </row>
    <row r="11" spans="2:6" ht="10.5" customHeight="1">
      <c r="B11" s="127"/>
      <c r="D11" s="126"/>
      <c r="E11" s="126"/>
      <c r="F11" s="126"/>
    </row>
    <row r="12" spans="2:6" ht="15.75">
      <c r="B12" s="127"/>
      <c r="D12" s="126"/>
      <c r="E12" s="126"/>
      <c r="F12" s="126"/>
    </row>
    <row r="13" spans="2:6" ht="15.75">
      <c r="B13" s="127"/>
      <c r="D13" s="128"/>
      <c r="E13" s="126"/>
      <c r="F13" s="128"/>
    </row>
    <row r="14" spans="2:6" ht="16.5" thickBot="1">
      <c r="B14" s="129" t="s">
        <v>382</v>
      </c>
      <c r="D14" s="130">
        <f>D10-D11</f>
        <v>1502224.7249970282</v>
      </c>
      <c r="E14" s="126"/>
      <c r="F14" s="130">
        <f>SUM(F10:F12)</f>
        <v>2070057.2450792387</v>
      </c>
    </row>
    <row r="15" spans="2:6" ht="16.5" thickTop="1">
      <c r="B15" s="131"/>
      <c r="D15" s="126"/>
      <c r="E15" s="126"/>
      <c r="F15" s="126"/>
    </row>
    <row r="16" spans="2:6" ht="15.75">
      <c r="B16" s="131"/>
      <c r="D16" s="126"/>
      <c r="E16" s="126"/>
      <c r="F16" s="126"/>
    </row>
    <row r="17" spans="2:7" ht="15.75">
      <c r="B17" s="121"/>
      <c r="D17" s="126"/>
      <c r="E17" s="126"/>
      <c r="F17" s="126"/>
    </row>
    <row r="18" spans="2:7" ht="16.5">
      <c r="B18" s="132" t="s">
        <v>39</v>
      </c>
      <c r="D18" s="102"/>
      <c r="E18" s="102"/>
      <c r="F18" s="102"/>
    </row>
    <row r="19" spans="2:7">
      <c r="D19" s="124"/>
      <c r="E19" s="124"/>
      <c r="F19" s="124"/>
    </row>
    <row r="20" spans="2:7">
      <c r="D20" s="124"/>
      <c r="E20" s="124"/>
      <c r="F20" s="124"/>
    </row>
    <row r="21" spans="2:7">
      <c r="D21" s="124"/>
      <c r="E21" s="124"/>
      <c r="F21" s="124"/>
    </row>
    <row r="22" spans="2:7">
      <c r="D22" s="133"/>
      <c r="E22" s="133"/>
      <c r="F22" s="133"/>
    </row>
    <row r="23" spans="2:7" ht="16.5">
      <c r="B23" s="15" t="s">
        <v>6</v>
      </c>
      <c r="C23" s="14"/>
      <c r="D23" s="16"/>
      <c r="E23" s="14"/>
      <c r="F23" s="17" t="s">
        <v>7</v>
      </c>
      <c r="G23" s="14"/>
    </row>
    <row r="24" spans="2:7">
      <c r="D24" s="133"/>
      <c r="E24" s="133"/>
      <c r="F24" s="133"/>
    </row>
  </sheetData>
  <pageMargins left="0.79" right="0.24"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B3:E35"/>
  <sheetViews>
    <sheetView view="pageBreakPreview" topLeftCell="A10" zoomScaleNormal="100" zoomScaleSheetLayoutView="100" workbookViewId="0">
      <selection activeCell="H37" sqref="H37"/>
    </sheetView>
  </sheetViews>
  <sheetFormatPr defaultRowHeight="15"/>
  <cols>
    <col min="1" max="1" width="3.5546875" customWidth="1"/>
    <col min="2" max="2" width="39.44140625" customWidth="1"/>
    <col min="3" max="3" width="11.6640625" style="83" bestFit="1" customWidth="1"/>
    <col min="4" max="4" width="12.88671875" style="83" customWidth="1"/>
    <col min="5" max="5" width="11.5546875" style="83" customWidth="1"/>
    <col min="6" max="6" width="1.109375" customWidth="1"/>
  </cols>
  <sheetData>
    <row r="3" spans="2:5">
      <c r="D3" s="144"/>
    </row>
    <row r="4" spans="2:5">
      <c r="D4" s="144"/>
    </row>
    <row r="5" spans="2:5" ht="15.75">
      <c r="B5" s="10" t="s">
        <v>4</v>
      </c>
    </row>
    <row r="6" spans="2:5" ht="15.75">
      <c r="B6" s="10" t="s">
        <v>41</v>
      </c>
    </row>
    <row r="7" spans="2:5" ht="15.75">
      <c r="B7" s="10" t="s">
        <v>399</v>
      </c>
    </row>
    <row r="10" spans="2:5">
      <c r="C10" s="464" t="s">
        <v>115</v>
      </c>
      <c r="D10" s="464" t="s">
        <v>116</v>
      </c>
      <c r="E10" s="464" t="s">
        <v>42</v>
      </c>
    </row>
    <row r="11" spans="2:5">
      <c r="C11" s="465"/>
      <c r="D11" s="465"/>
      <c r="E11" s="465"/>
    </row>
    <row r="13" spans="2:5" ht="15.75">
      <c r="C13" s="463" t="s">
        <v>117</v>
      </c>
      <c r="D13" s="463"/>
      <c r="E13" s="463"/>
    </row>
    <row r="15" spans="2:5">
      <c r="B15" t="s">
        <v>118</v>
      </c>
      <c r="C15" s="83">
        <v>10000000</v>
      </c>
      <c r="D15" s="83">
        <v>-99179</v>
      </c>
      <c r="E15" s="83">
        <v>9900821</v>
      </c>
    </row>
    <row r="17" spans="2:5">
      <c r="B17" t="s">
        <v>382</v>
      </c>
      <c r="C17" s="83">
        <v>0</v>
      </c>
      <c r="D17" s="83">
        <v>2070058</v>
      </c>
      <c r="E17" s="83">
        <v>2070057.5450792387</v>
      </c>
    </row>
    <row r="19" spans="2:5">
      <c r="C19" s="146"/>
      <c r="D19" s="146"/>
      <c r="E19" s="146"/>
    </row>
    <row r="20" spans="2:5">
      <c r="B20" t="s">
        <v>210</v>
      </c>
      <c r="C20" s="83">
        <f>SUM(C15:C18)</f>
        <v>10000000</v>
      </c>
      <c r="D20" s="83">
        <f>SUM(D15:D18)</f>
        <v>1970879</v>
      </c>
      <c r="E20" s="83">
        <f>SUM(E15:E18)</f>
        <v>11970878.545079239</v>
      </c>
    </row>
    <row r="22" spans="2:5">
      <c r="B22" t="s">
        <v>382</v>
      </c>
      <c r="C22" s="83">
        <v>0</v>
      </c>
      <c r="D22" s="83">
        <f>+'P &amp; L'!F31</f>
        <v>1502224.7249970282</v>
      </c>
      <c r="E22" s="83">
        <f>SUM(C22:D22)</f>
        <v>1502224.7249970282</v>
      </c>
    </row>
    <row r="24" spans="2:5">
      <c r="C24" s="147"/>
      <c r="D24" s="147"/>
      <c r="E24" s="147"/>
    </row>
    <row r="25" spans="2:5" ht="15.75" thickBot="1">
      <c r="B25" t="s">
        <v>400</v>
      </c>
      <c r="C25" s="148">
        <f>SUM(C20:C22)</f>
        <v>10000000</v>
      </c>
      <c r="D25" s="148">
        <f>SUM(D20:D22)</f>
        <v>3473103.7249970282</v>
      </c>
      <c r="E25" s="148">
        <f>SUM(E20:E22)+1</f>
        <v>13473104.270076267</v>
      </c>
    </row>
    <row r="26" spans="2:5" ht="15.75" thickTop="1"/>
    <row r="29" spans="2:5">
      <c r="B29" t="s">
        <v>39</v>
      </c>
    </row>
    <row r="35" spans="2:5" ht="15.75">
      <c r="B35" s="10" t="s">
        <v>6</v>
      </c>
      <c r="E35" s="145" t="s">
        <v>7</v>
      </c>
    </row>
  </sheetData>
  <mergeCells count="4">
    <mergeCell ref="C13:E13"/>
    <mergeCell ref="C10:C11"/>
    <mergeCell ref="D10:D11"/>
    <mergeCell ref="E10:E11"/>
  </mergeCells>
  <pageMargins left="0.91" right="0.34"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3:R66"/>
  <sheetViews>
    <sheetView view="pageBreakPreview" topLeftCell="A25" zoomScale="85" zoomScaleNormal="100" zoomScaleSheetLayoutView="85" workbookViewId="0">
      <selection activeCell="G27" sqref="G27"/>
    </sheetView>
  </sheetViews>
  <sheetFormatPr defaultRowHeight="16.5"/>
  <cols>
    <col min="1" max="1" width="3.109375" style="93" customWidth="1"/>
    <col min="2" max="2" width="2.44140625" style="93" customWidth="1"/>
    <col min="3" max="3" width="3" style="93" customWidth="1"/>
    <col min="4" max="4" width="61.44140625" style="93" customWidth="1"/>
    <col min="5" max="5" width="7.77734375" style="93" customWidth="1"/>
    <col min="6" max="6" width="1" style="93" customWidth="1"/>
    <col min="7" max="7" width="10.44140625" style="94" bestFit="1" customWidth="1"/>
    <col min="8" max="8" width="1" style="93" customWidth="1"/>
    <col min="9" max="9" width="9.88671875" style="93" bestFit="1" customWidth="1"/>
    <col min="10" max="10" width="1" style="93" customWidth="1"/>
    <col min="11" max="14" width="8.88671875" style="93"/>
    <col min="15" max="15" width="8.88671875" style="159"/>
    <col min="16" max="17" width="8.88671875" style="93"/>
    <col min="18" max="18" width="8.88671875" style="159"/>
    <col min="19" max="16384" width="8.88671875" style="93"/>
  </cols>
  <sheetData>
    <row r="3" spans="3:9">
      <c r="C3" s="92" t="str">
        <f>+'[5]Pre operating Expenses'!B4</f>
        <v>ARIF LATIF SECURITIES (PVT) LIMITED</v>
      </c>
    </row>
    <row r="4" spans="3:9">
      <c r="C4" s="92" t="s">
        <v>186</v>
      </c>
    </row>
    <row r="5" spans="3:9">
      <c r="C5" s="92" t="str">
        <f>'P &amp; L'!B4</f>
        <v>FOR THE YEAR ENDED JUNE 30, 2015</v>
      </c>
    </row>
    <row r="6" spans="3:9">
      <c r="F6" s="95"/>
      <c r="G6" s="96">
        <v>2015</v>
      </c>
      <c r="H6" s="97"/>
      <c r="I6" s="96">
        <v>2014</v>
      </c>
    </row>
    <row r="7" spans="3:9">
      <c r="E7" s="98" t="s">
        <v>52</v>
      </c>
      <c r="F7" s="95"/>
      <c r="G7" s="99" t="s">
        <v>0</v>
      </c>
      <c r="H7" s="100"/>
      <c r="I7" s="99" t="s">
        <v>0</v>
      </c>
    </row>
    <row r="8" spans="3:9">
      <c r="C8" s="92" t="s">
        <v>167</v>
      </c>
      <c r="E8" s="101"/>
      <c r="G8" s="328"/>
    </row>
    <row r="9" spans="3:9" ht="9" customHeight="1">
      <c r="G9" s="328"/>
    </row>
    <row r="10" spans="3:9">
      <c r="C10" s="93" t="s">
        <v>377</v>
      </c>
      <c r="G10" s="328">
        <f>+'P &amp; L'!F24</f>
        <v>2345595.3469999996</v>
      </c>
      <c r="I10" s="102">
        <v>2562360.419999999</v>
      </c>
    </row>
    <row r="11" spans="3:9" ht="9" customHeight="1">
      <c r="G11" s="328"/>
      <c r="I11" s="102"/>
    </row>
    <row r="12" spans="3:9">
      <c r="D12" s="92" t="s">
        <v>168</v>
      </c>
      <c r="G12" s="328"/>
      <c r="I12" s="102"/>
    </row>
    <row r="13" spans="3:9">
      <c r="D13" s="93" t="s">
        <v>100</v>
      </c>
      <c r="G13" s="329">
        <f>+'Fixed Assets'!I23</f>
        <v>19469.342999999997</v>
      </c>
      <c r="I13" s="104">
        <v>23949.469999999998</v>
      </c>
    </row>
    <row r="14" spans="3:9">
      <c r="D14" s="93" t="s">
        <v>55</v>
      </c>
      <c r="G14" s="330">
        <f>+'P &amp; L'!F21</f>
        <v>5228.3500000000004</v>
      </c>
      <c r="I14" s="105">
        <v>4876</v>
      </c>
    </row>
    <row r="15" spans="3:9">
      <c r="D15" s="93" t="s">
        <v>368</v>
      </c>
      <c r="G15" s="331">
        <f>-'Notes (2)'!I271</f>
        <v>0</v>
      </c>
      <c r="I15" s="107">
        <v>-955266.20999999903</v>
      </c>
    </row>
    <row r="16" spans="3:9" ht="9" customHeight="1">
      <c r="G16" s="328"/>
      <c r="I16" s="102"/>
    </row>
    <row r="17" spans="3:18">
      <c r="G17" s="328">
        <f>SUM(G13:G15)</f>
        <v>24697.692999999999</v>
      </c>
      <c r="I17" s="102">
        <f>SUM(I13:I15)</f>
        <v>-926440.73999999906</v>
      </c>
    </row>
    <row r="18" spans="3:18" ht="9" customHeight="1">
      <c r="G18" s="332"/>
      <c r="I18" s="109"/>
    </row>
    <row r="19" spans="3:18">
      <c r="C19" s="92" t="s">
        <v>169</v>
      </c>
      <c r="G19" s="328">
        <f>G10+G17-0.4</f>
        <v>2370292.6399999997</v>
      </c>
      <c r="I19" s="102">
        <f>I10+I17-0.4</f>
        <v>1635919.28</v>
      </c>
    </row>
    <row r="20" spans="3:18" ht="9" customHeight="1">
      <c r="G20" s="328"/>
      <c r="I20" s="102"/>
    </row>
    <row r="21" spans="3:18">
      <c r="C21" s="92" t="s">
        <v>170</v>
      </c>
      <c r="G21" s="328"/>
      <c r="I21" s="102"/>
    </row>
    <row r="22" spans="3:18">
      <c r="C22" s="93" t="s">
        <v>171</v>
      </c>
      <c r="G22" s="329"/>
      <c r="I22" s="104"/>
    </row>
    <row r="23" spans="3:18">
      <c r="D23" s="93" t="s">
        <v>172</v>
      </c>
      <c r="G23" s="330">
        <f>BS!H18-BS!F18</f>
        <v>-10708307.84</v>
      </c>
      <c r="I23" s="105">
        <v>-5685838.0899999999</v>
      </c>
    </row>
    <row r="24" spans="3:18">
      <c r="D24" s="93" t="s">
        <v>355</v>
      </c>
      <c r="G24" s="330">
        <f>BS!H19-BS!F19</f>
        <v>10649040.209999999</v>
      </c>
      <c r="I24" s="105">
        <v>-9693773.8000000063</v>
      </c>
    </row>
    <row r="25" spans="3:18">
      <c r="C25" s="93" t="s">
        <v>173</v>
      </c>
      <c r="D25" s="110"/>
      <c r="G25" s="330"/>
      <c r="I25" s="105"/>
      <c r="M25" s="466" t="s">
        <v>560</v>
      </c>
      <c r="N25" s="466"/>
      <c r="O25" s="466"/>
      <c r="P25" s="466"/>
      <c r="Q25" s="466"/>
      <c r="R25" s="466"/>
    </row>
    <row r="26" spans="3:18">
      <c r="D26" s="93" t="s">
        <v>174</v>
      </c>
      <c r="G26" s="330">
        <f>BS!F43-BS!H43-1</f>
        <v>-12277961.099999998</v>
      </c>
      <c r="I26" s="105">
        <v>13890952.419999996</v>
      </c>
      <c r="M26" s="410"/>
      <c r="N26" s="410"/>
      <c r="O26" s="411"/>
      <c r="P26" s="410"/>
      <c r="Q26" s="410"/>
      <c r="R26" s="413"/>
    </row>
    <row r="27" spans="3:18">
      <c r="D27" s="93" t="s">
        <v>187</v>
      </c>
      <c r="G27" s="331">
        <f>BS!F44-BS!H44</f>
        <v>-144214</v>
      </c>
      <c r="I27" s="107">
        <v>18141938.25</v>
      </c>
      <c r="M27" s="93" t="s">
        <v>561</v>
      </c>
      <c r="O27" s="412">
        <f>0</f>
        <v>0</v>
      </c>
      <c r="P27" s="93" t="s">
        <v>561</v>
      </c>
      <c r="R27" s="159">
        <f>BS!H45</f>
        <v>130468.55982076039</v>
      </c>
    </row>
    <row r="28" spans="3:18" ht="9" customHeight="1">
      <c r="G28" s="328"/>
      <c r="I28" s="102"/>
      <c r="O28" s="412"/>
    </row>
    <row r="29" spans="3:18">
      <c r="G29" s="333">
        <f>SUM(G23:G28)</f>
        <v>-12481442.729999999</v>
      </c>
      <c r="I29" s="111">
        <f>SUM(I23:I28)</f>
        <v>16653278.77999999</v>
      </c>
      <c r="O29" s="412"/>
    </row>
    <row r="30" spans="3:18">
      <c r="I30" s="102"/>
      <c r="O30" s="412"/>
    </row>
    <row r="31" spans="3:18">
      <c r="C31" s="92" t="s">
        <v>175</v>
      </c>
      <c r="G31" s="94">
        <f>G29+G19</f>
        <v>-10111150.09</v>
      </c>
      <c r="I31" s="102">
        <f>I29+I19</f>
        <v>18289198.059999991</v>
      </c>
      <c r="M31" s="93" t="s">
        <v>563</v>
      </c>
      <c r="O31" s="412">
        <f>R38-O36-O27</f>
        <v>721677.23982076044</v>
      </c>
      <c r="P31" s="93" t="s">
        <v>565</v>
      </c>
      <c r="R31" s="159">
        <f>'P &amp; L'!F26</f>
        <v>843477.47666297131</v>
      </c>
    </row>
    <row r="32" spans="3:18" ht="9" customHeight="1">
      <c r="C32" s="92"/>
      <c r="I32" s="102"/>
      <c r="O32" s="412"/>
    </row>
    <row r="33" spans="3:18">
      <c r="D33" s="93" t="s">
        <v>176</v>
      </c>
      <c r="G33" s="103">
        <f>-O31</f>
        <v>-721677.23982076044</v>
      </c>
      <c r="I33" s="104">
        <v>-367254.2</v>
      </c>
      <c r="L33" s="93">
        <f>+'Balance Sheet'!F30+'P &amp; L'!F26-'Balance Sheet'!D30</f>
        <v>721677.23982076044</v>
      </c>
      <c r="O33" s="412"/>
    </row>
    <row r="34" spans="3:18">
      <c r="D34" s="93" t="s">
        <v>177</v>
      </c>
      <c r="G34" s="106">
        <f>-G14</f>
        <v>-5228.3500000000004</v>
      </c>
      <c r="I34" s="107">
        <v>-4876</v>
      </c>
      <c r="O34" s="412"/>
    </row>
    <row r="35" spans="3:18" ht="9" customHeight="1">
      <c r="I35" s="102"/>
      <c r="O35" s="412"/>
    </row>
    <row r="36" spans="3:18">
      <c r="G36" s="94">
        <f>SUM(G33:G35)</f>
        <v>-726905.58982076042</v>
      </c>
      <c r="I36" s="102">
        <f>SUM(I33:I35)</f>
        <v>-372130.2</v>
      </c>
      <c r="M36" s="93" t="s">
        <v>562</v>
      </c>
      <c r="O36" s="412">
        <f>BS!F45</f>
        <v>252268.79666297132</v>
      </c>
      <c r="P36" s="93" t="s">
        <v>562</v>
      </c>
      <c r="R36" s="159">
        <f>BS!F20</f>
        <v>0</v>
      </c>
    </row>
    <row r="37" spans="3:18" ht="9" customHeight="1">
      <c r="G37" s="108"/>
      <c r="I37" s="109"/>
    </row>
    <row r="38" spans="3:18" ht="17.25" thickBot="1">
      <c r="C38" s="92" t="s">
        <v>178</v>
      </c>
      <c r="G38" s="94">
        <f>G36+G31</f>
        <v>-10838055.679820761</v>
      </c>
      <c r="I38" s="102">
        <f>I36+I31</f>
        <v>17917067.859999992</v>
      </c>
      <c r="O38" s="414">
        <f>SUM(O27:O36)</f>
        <v>973946.03648373182</v>
      </c>
      <c r="R38" s="415">
        <f>SUM(R27:R36)</f>
        <v>973946.0364837317</v>
      </c>
    </row>
    <row r="39" spans="3:18" ht="9" customHeight="1" thickTop="1">
      <c r="I39" s="102"/>
      <c r="O39" s="412"/>
    </row>
    <row r="40" spans="3:18">
      <c r="C40" s="92" t="s">
        <v>179</v>
      </c>
      <c r="I40" s="102"/>
    </row>
    <row r="41" spans="3:18" ht="9" customHeight="1">
      <c r="I41" s="102"/>
    </row>
    <row r="42" spans="3:18" ht="9" customHeight="1">
      <c r="H42" s="94"/>
      <c r="I42" s="102"/>
    </row>
    <row r="43" spans="3:18">
      <c r="C43" s="92" t="s">
        <v>180</v>
      </c>
      <c r="G43" s="94">
        <f>SUM(G42:G42)</f>
        <v>0</v>
      </c>
      <c r="H43" s="94"/>
      <c r="I43" s="102">
        <f>SUM(I42:I42)</f>
        <v>0</v>
      </c>
    </row>
    <row r="44" spans="3:18" ht="9" customHeight="1">
      <c r="H44" s="94"/>
      <c r="I44" s="102"/>
    </row>
    <row r="45" spans="3:18">
      <c r="C45" s="92" t="s">
        <v>181</v>
      </c>
      <c r="H45" s="94"/>
      <c r="I45" s="102"/>
    </row>
    <row r="46" spans="3:18" ht="9" customHeight="1">
      <c r="C46" s="92"/>
      <c r="H46" s="94"/>
      <c r="I46" s="102"/>
    </row>
    <row r="47" spans="3:18">
      <c r="H47" s="94"/>
      <c r="I47" s="102"/>
    </row>
    <row r="48" spans="3:18">
      <c r="C48" s="92" t="s">
        <v>182</v>
      </c>
      <c r="G48" s="94">
        <v>0</v>
      </c>
      <c r="H48" s="94"/>
      <c r="I48" s="94">
        <v>0</v>
      </c>
    </row>
    <row r="49" spans="3:10" ht="9" customHeight="1">
      <c r="G49" s="108"/>
      <c r="H49" s="94"/>
      <c r="I49" s="109"/>
    </row>
    <row r="50" spans="3:10">
      <c r="C50" s="92" t="s">
        <v>183</v>
      </c>
      <c r="G50" s="94">
        <f>+G43+G38</f>
        <v>-10838055.679820761</v>
      </c>
      <c r="H50" s="94"/>
      <c r="I50" s="94">
        <f>I48+I43+I38</f>
        <v>17917067.859999992</v>
      </c>
    </row>
    <row r="51" spans="3:10" ht="9" customHeight="1">
      <c r="H51" s="94"/>
      <c r="I51" s="102"/>
    </row>
    <row r="52" spans="3:10">
      <c r="C52" s="92" t="s">
        <v>184</v>
      </c>
      <c r="G52" s="94">
        <f>+I54</f>
        <v>44659740.859999992</v>
      </c>
      <c r="H52" s="94"/>
      <c r="I52" s="102">
        <v>26742673</v>
      </c>
    </row>
    <row r="53" spans="3:10" ht="9" customHeight="1">
      <c r="G53" s="112"/>
      <c r="H53" s="94"/>
      <c r="I53" s="113"/>
    </row>
    <row r="54" spans="3:10" ht="17.25" thickBot="1">
      <c r="C54" s="92" t="s">
        <v>185</v>
      </c>
      <c r="E54" s="114">
        <f>BS!D21</f>
        <v>8</v>
      </c>
      <c r="G54" s="115">
        <f>SUM(G50:G53)</f>
        <v>33821685.180179231</v>
      </c>
      <c r="H54" s="94"/>
      <c r="I54" s="116">
        <f>SUM(I50:I53)</f>
        <v>44659740.859999992</v>
      </c>
    </row>
    <row r="55" spans="3:10" ht="9" customHeight="1" thickTop="1">
      <c r="H55" s="94"/>
      <c r="I55" s="102"/>
    </row>
    <row r="56" spans="3:10">
      <c r="C56" s="93" t="s">
        <v>39</v>
      </c>
      <c r="H56" s="94"/>
      <c r="I56" s="102"/>
    </row>
    <row r="57" spans="3:10">
      <c r="I57" s="102"/>
    </row>
    <row r="58" spans="3:10">
      <c r="I58" s="102"/>
    </row>
    <row r="59" spans="3:10">
      <c r="C59" s="92" t="s">
        <v>6</v>
      </c>
      <c r="D59" s="92"/>
      <c r="E59" s="92"/>
      <c r="F59" s="92"/>
      <c r="I59" s="102"/>
      <c r="J59" s="117" t="s">
        <v>7</v>
      </c>
    </row>
    <row r="60" spans="3:10">
      <c r="I60" s="102"/>
    </row>
    <row r="61" spans="3:10">
      <c r="I61" s="102"/>
    </row>
    <row r="62" spans="3:10">
      <c r="G62" s="94">
        <f>+G54-'Balance Sheet'!K30</f>
        <v>0.5001792311668396</v>
      </c>
      <c r="I62" s="94">
        <f>+I54-'Balance Sheet'!M30</f>
        <v>0.18999999016523361</v>
      </c>
    </row>
    <row r="63" spans="3:10">
      <c r="I63" s="102"/>
    </row>
    <row r="64" spans="3:10">
      <c r="I64" s="102"/>
    </row>
    <row r="65" spans="9:9">
      <c r="I65" s="102"/>
    </row>
    <row r="66" spans="9:9">
      <c r="I66" s="102"/>
    </row>
  </sheetData>
  <mergeCells count="1">
    <mergeCell ref="M25:R25"/>
  </mergeCells>
  <pageMargins left="0.7" right="0.24" top="0.43" bottom="0.38" header="0.39" footer="0.3"/>
  <pageSetup scale="82" orientation="portrait" r:id="rId1"/>
  <rowBreaks count="1" manualBreakCount="1">
    <brk id="59" min="1"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11</vt:i4>
      </vt:variant>
    </vt:vector>
  </HeadingPairs>
  <TitlesOfParts>
    <vt:vector size="28" baseType="lpstr">
      <vt:lpstr>sales tax </vt:lpstr>
      <vt:lpstr>Trial 15 (2)</vt:lpstr>
      <vt:lpstr>JV</vt:lpstr>
      <vt:lpstr>BS</vt:lpstr>
      <vt:lpstr>Balance Sheet</vt:lpstr>
      <vt:lpstr>P &amp; L</vt:lpstr>
      <vt:lpstr>OCI</vt:lpstr>
      <vt:lpstr>SOCE</vt:lpstr>
      <vt:lpstr>cash flow</vt:lpstr>
      <vt:lpstr>Trial 15</vt:lpstr>
      <vt:lpstr>Fixed Assets</vt:lpstr>
      <vt:lpstr>Notes (2)</vt:lpstr>
      <vt:lpstr>Difference</vt:lpstr>
      <vt:lpstr>Shares</vt:lpstr>
      <vt:lpstr>Provision-Final</vt:lpstr>
      <vt:lpstr>TAX SCHEDULE</vt:lpstr>
      <vt:lpstr>deffered</vt:lpstr>
      <vt:lpstr>'Balance Sheet'!Print_Area</vt:lpstr>
      <vt:lpstr>BS!Print_Area</vt:lpstr>
      <vt:lpstr>'cash flow'!Print_Area</vt:lpstr>
      <vt:lpstr>'Fixed Assets'!Print_Area</vt:lpstr>
      <vt:lpstr>'Notes (2)'!Print_Area</vt:lpstr>
      <vt:lpstr>OCI!Print_Area</vt:lpstr>
      <vt:lpstr>'P &amp; L'!Print_Area</vt:lpstr>
      <vt:lpstr>'Provision-Final'!Print_Area</vt:lpstr>
      <vt:lpstr>SOCE!Print_Area</vt:lpstr>
      <vt:lpstr>'TAX SCHEDULE'!Print_Area</vt:lpstr>
      <vt:lpstr>'Notes (2)'!Print_Titles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Amc</dc:creator>
  <cp:lastModifiedBy>Arif Latif</cp:lastModifiedBy>
  <cp:lastPrinted>2017-12-19T07:28:00Z</cp:lastPrinted>
  <dcterms:created xsi:type="dcterms:W3CDTF">2010-12-08T11:48:00Z</dcterms:created>
  <dcterms:modified xsi:type="dcterms:W3CDTF">2017-12-19T07:29:04Z</dcterms:modified>
</cp:coreProperties>
</file>